
<file path=[Content_Types].xml><?xml version="1.0" encoding="utf-8"?>
<Types xmlns="http://schemas.openxmlformats.org/package/2006/content-types">
  <Default Extension="bin" ContentType="application/vnd.openxmlformats-officedocument.spreadsheetml.printerSettings"/>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slicers/slicer2.xml" ContentType="application/vnd.ms-excel.slicer+xml"/>
  <Override PartName="/xl/charts/chart3.xml" ContentType="application/vnd.openxmlformats-officedocument.drawingml.chart+xml"/>
  <Override PartName="/xl/slicers/slicer3.xml" ContentType="application/vnd.ms-excel.slicer+xml"/>
  <Override PartName="/xl/charts/chart4.xml" ContentType="application/vnd.openxmlformats-officedocument.drawingml.chart+xml"/>
  <Override PartName="/xl/slicers/slicer4.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3.xml" ContentType="application/vnd.openxmlformats-officedocument.spreadsheetml.pivotTable+xml"/>
  <Override PartName="/xl/pivotTables/pivotTable15.xml" ContentType="application/vnd.openxmlformats-officedocument.spreadsheetml.pivotTable+xml"/>
  <Override PartName="/xl/pivotTables/pivotTable20.xml" ContentType="application/vnd.openxmlformats-officedocument.spreadsheetml.pivotTable+xml"/>
  <Override PartName="/xl/pivotTables/pivotTable24.xml" ContentType="application/vnd.openxmlformats-officedocument.spreadsheetml.pivotTable+xml"/>
  <Override PartName="/xl/pivotTables/pivotTable18.xml" ContentType="application/vnd.openxmlformats-officedocument.spreadsheetml.pivotTable+xml"/>
  <Override PartName="/xl/pivotTables/pivotTable17.xml" ContentType="application/vnd.openxmlformats-officedocument.spreadsheetml.pivotTable+xml"/>
  <Override PartName="/xl/pivotTables/pivotTable14.xml" ContentType="application/vnd.openxmlformats-officedocument.spreadsheetml.pivotTable+xml"/>
  <Override PartName="/xl/pivotTables/pivotTable21.xml" ContentType="application/vnd.openxmlformats-officedocument.spreadsheetml.pivotTable+xml"/>
  <Override PartName="/xl/pivotTables/pivotTable19.xml" ContentType="application/vnd.openxmlformats-officedocument.spreadsheetml.pivotTable+xml"/>
  <Override PartName="/xl/pivotTables/pivotTable13.xml" ContentType="application/vnd.openxmlformats-officedocument.spreadsheetml.pivotTable+xml"/>
  <Override PartName="/xl/pivotTables/pivotTable22.xml" ContentType="application/vnd.openxmlformats-officedocument.spreadsheetml.pivotTable+xml"/>
  <Override PartName="/xl/pivotTables/pivotTable16.xml" ContentType="application/vnd.openxmlformats-officedocument.spreadsheetml.pivotTable+xml"/>
  <Override PartName="/xl/charts/colors2.xml" ContentType="application/vnd.ms-office.chartcolorstyle+xml"/>
  <Override PartName="/xl/charts/colors1.xml" ContentType="application/vnd.ms-office.chartcolorstyle+xml"/>
  <Override PartName="/xl/charts/style1.xml" ContentType="application/vnd.ms-office.chartstyle+xml"/>
  <Override PartName="/xl/charts/style2.xml" ContentType="application/vnd.ms-office.chart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hidePivotFieldList="1" defaultThemeVersion="164011"/>
  <bookViews>
    <workbookView xWindow="0" yWindow="0" windowWidth="19200" windowHeight="6369" activeTab="5"/>
  </bookViews>
  <sheets>
    <sheet name="Lookup" sheetId="20" r:id="rId1"/>
    <sheet name="Inst" sheetId="14" r:id="rId2"/>
    <sheet name="Sheet1" sheetId="15" r:id="rId3"/>
    <sheet name="DataYY03" sheetId="1" r:id="rId4"/>
    <sheet name="Avg. Costs" sheetId="2" r:id="rId5"/>
    <sheet name="Dashboard $" sheetId="8" r:id="rId6"/>
    <sheet name="Benchmark" sheetId="9" r:id="rId7"/>
    <sheet name="water" sheetId="19" r:id="rId8"/>
    <sheet name="Electric Matt" sheetId="3" r:id="rId9"/>
    <sheet name="Gas Matt" sheetId="5" r:id="rId10"/>
    <sheet name="Water Matt" sheetId="6" r:id="rId11"/>
    <sheet name="ALL Matt" sheetId="7" r:id="rId12"/>
    <sheet name="%" sheetId="18" r:id="rId13"/>
  </sheets>
  <definedNames>
    <definedName name="_xlnm.Print_Area" localSheetId="5">'Dashboard $'!$A$4:$K$38</definedName>
    <definedName name="Slicer_School_Type">#N/A</definedName>
    <definedName name="Slicer_School_Type1">#N/A</definedName>
    <definedName name="Slicer_School_Type11">#N/A</definedName>
    <definedName name="Slicer_Utility">#N/A</definedName>
    <definedName name="Slicer_Utility1">#N/A</definedName>
    <definedName name="Slicer_Utility2">#N/A</definedName>
    <definedName name="Slicer_Utility21">#N/A</definedName>
  </definedNames>
  <calcPr calcId="162913"/>
  <pivotCaches>
    <pivotCache cacheId="2" r:id="rId14"/>
    <pivotCache cacheId="1" r:id="rId15"/>
    <pivotCache cacheId="0" r:id="rId16"/>
  </pivotCaches>
  <extLst>
    <ext xmlns:x14="http://schemas.microsoft.com/office/spreadsheetml/2009/9/main" uri="{BBE1A952-AA13-448e-AADC-164F8A28A991}">
      <x14:slicerCaches>
        <x14:slicerCache r:id="rId19"/>
        <x14:slicerCache r:id="rId20"/>
        <x14:slicerCache r:id="rId21"/>
        <x14:slicerCache r:id="rId22"/>
        <x14:slicerCache r:id="rId23"/>
        <x14:slicerCache r:id="rId24"/>
        <x14:slicerCache r:id="rId25"/>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comments6.xml><?xml version="1.0" encoding="utf-8"?>
<comments xmlns="http://schemas.openxmlformats.org/spreadsheetml/2006/main">
  <authors>
    <author>JAY BONHAM</author>
  </authors>
  <commentList>
    <comment ref="AQ19" authorId="0">
      <text>
        <r>
          <rPr>
            <b/>
            <sz val="9"/>
            <rFont val="Tahoma"/>
            <family val="2"/>
          </rPr>
          <t>JAY BONHAM:</t>
        </r>
        <r>
          <rPr>
            <sz val="9"/>
            <rFont val="Tahoma"/>
            <family val="2"/>
          </rPr>
          <t xml:space="preserve">
These are frozen pivot  tables. </t>
        </r>
      </text>
    </comment>
  </commentList>
</comments>
</file>

<file path=xl/sharedStrings.xml><?xml version="1.0" encoding="utf-8"?>
<sst xmlns="http://schemas.openxmlformats.org/spreadsheetml/2006/main" count="2118" uniqueCount="231">
  <si>
    <t>School Type</t>
  </si>
  <si>
    <t>Utility</t>
  </si>
  <si>
    <t>Place</t>
  </si>
  <si>
    <t>Location</t>
  </si>
  <si>
    <t>Area</t>
  </si>
  <si>
    <t>Eff. Date</t>
  </si>
  <si>
    <t xml:space="preserve">Base Year </t>
  </si>
  <si>
    <t>Var [%]</t>
  </si>
  <si>
    <t>Base Year 2</t>
  </si>
  <si>
    <t>Cost</t>
  </si>
  <si>
    <t>Var [%]3</t>
  </si>
  <si>
    <t>Base Year 4</t>
  </si>
  <si>
    <t>Current Year5</t>
  </si>
  <si>
    <t>Var [%]6</t>
  </si>
  <si>
    <t>Elementary School</t>
  </si>
  <si>
    <t>Electric</t>
  </si>
  <si>
    <t>ADAM-ES</t>
  </si>
  <si>
    <t>Houston, TX</t>
  </si>
  <si>
    <t>Special School</t>
  </si>
  <si>
    <t>ALCABC</t>
  </si>
  <si>
    <t>ALCWEST</t>
  </si>
  <si>
    <t>Katy, TX</t>
  </si>
  <si>
    <t>ANDREES</t>
  </si>
  <si>
    <t>Cypress, TX</t>
  </si>
  <si>
    <t>Middle School</t>
  </si>
  <si>
    <t>ANTHONYMS</t>
  </si>
  <si>
    <t>ARAGONMS</t>
  </si>
  <si>
    <t>ARNOLDMS</t>
  </si>
  <si>
    <t>AULTES</t>
  </si>
  <si>
    <t>BANEES</t>
  </si>
  <si>
    <t>BANGES</t>
  </si>
  <si>
    <t>Administration</t>
  </si>
  <si>
    <t>BARKERTRANS</t>
  </si>
  <si>
    <t>BERRYCENTER</t>
  </si>
  <si>
    <t>BIRKESES</t>
  </si>
  <si>
    <t>BLACKES</t>
  </si>
  <si>
    <t>BLEYLMS</t>
  </si>
  <si>
    <t>BRADLEYPOLICESTATION</t>
  </si>
  <si>
    <t>High School</t>
  </si>
  <si>
    <t>BRIDGELANDHS</t>
  </si>
  <si>
    <t>CAMPBELLMS</t>
  </si>
  <si>
    <t>CFISDNATATORIUM</t>
  </si>
  <si>
    <t>COOKMS</t>
  </si>
  <si>
    <t>COPELANDES</t>
  </si>
  <si>
    <t>CY-CREEKHS</t>
  </si>
  <si>
    <t>CY-FAIRCOMPLEXRETENTIONPOND</t>
  </si>
  <si>
    <t>CY-FAIRHS</t>
  </si>
  <si>
    <t>CY-FAIRHS-BALLFIELD</t>
  </si>
  <si>
    <t>CY-FALLSHS</t>
  </si>
  <si>
    <t>CY-LAKESHS</t>
  </si>
  <si>
    <t>CY-PARKHS</t>
  </si>
  <si>
    <t>CY-RANCHHS</t>
  </si>
  <si>
    <t>CY-RIDGEHS</t>
  </si>
  <si>
    <t>CY-SPRINGSHS</t>
  </si>
  <si>
    <t>CY-WOODSHS</t>
  </si>
  <si>
    <t>DANISHES</t>
  </si>
  <si>
    <t>DEANMS</t>
  </si>
  <si>
    <t>DURYEAES</t>
  </si>
  <si>
    <t>ELC1</t>
  </si>
  <si>
    <t>ELC2</t>
  </si>
  <si>
    <t>ELDRIDGETRANS</t>
  </si>
  <si>
    <t>EMERYES</t>
  </si>
  <si>
    <t>EMMOTTES</t>
  </si>
  <si>
    <t>EXHIBITCENTERSCIENCERESOURCEC</t>
  </si>
  <si>
    <t>EXHIBITCENTERTELGEAG</t>
  </si>
  <si>
    <t>FALCONCOMPLEX</t>
  </si>
  <si>
    <t>FARNEYES</t>
  </si>
  <si>
    <t>FIESTES</t>
  </si>
  <si>
    <t>FOODPRODUCTIONCENTER</t>
  </si>
  <si>
    <t>FOODSERVICEWAREHOUSE</t>
  </si>
  <si>
    <t>FRANCONEES</t>
  </si>
  <si>
    <t>FRAZIERES</t>
  </si>
  <si>
    <t>GLEASONES</t>
  </si>
  <si>
    <t>GOODSONMS</t>
  </si>
  <si>
    <t>HAIRGROVEES</t>
  </si>
  <si>
    <t>HAMILTONES</t>
  </si>
  <si>
    <t>HAMILTONMS</t>
  </si>
  <si>
    <t>HANCOCKES</t>
  </si>
  <si>
    <t>HEMMENWAYES</t>
  </si>
  <si>
    <t>HOLBROOKES</t>
  </si>
  <si>
    <t>HOLMSLEYES</t>
  </si>
  <si>
    <t>HOOVERES</t>
  </si>
  <si>
    <t>HOPPERMS</t>
  </si>
  <si>
    <t>HORNEES</t>
  </si>
  <si>
    <t>ISCA</t>
  </si>
  <si>
    <t>ISCB</t>
  </si>
  <si>
    <t>ISCC</t>
  </si>
  <si>
    <t>ISCC-EXLIGHT</t>
  </si>
  <si>
    <t>ISCD</t>
  </si>
  <si>
    <t>ISCDATACENTER</t>
  </si>
  <si>
    <t>ISCSW</t>
  </si>
  <si>
    <t>ISCW</t>
  </si>
  <si>
    <t>JARVISCENTRALPLANT</t>
  </si>
  <si>
    <t>JERSEYVILLAGEHS</t>
  </si>
  <si>
    <t>JERSEYVILLAGESTADIUM</t>
  </si>
  <si>
    <t>JOWELLES</t>
  </si>
  <si>
    <t>KAHLAMS</t>
  </si>
  <si>
    <t>KEITHES</t>
  </si>
  <si>
    <t>KIRKES</t>
  </si>
  <si>
    <t>LABAYMS</t>
  </si>
  <si>
    <t>LAMKINES</t>
  </si>
  <si>
    <t>LANGHAMCREEKHS</t>
  </si>
  <si>
    <t>LANGHAMCREEKRETENTIONPOND</t>
  </si>
  <si>
    <t>LEEES</t>
  </si>
  <si>
    <t>LIEDERES</t>
  </si>
  <si>
    <t>LOWERYES</t>
  </si>
  <si>
    <t>MAINTENANCEOPER</t>
  </si>
  <si>
    <t>MATZKEMILLSES</t>
  </si>
  <si>
    <t>MCFEEES</t>
  </si>
  <si>
    <t>METCALFES</t>
  </si>
  <si>
    <t>MILLSAPES</t>
  </si>
  <si>
    <t>MILLSAPNATURETRAIL</t>
  </si>
  <si>
    <t>MILLSAPROPES</t>
  </si>
  <si>
    <t>MOOREES</t>
  </si>
  <si>
    <t>OWENSES</t>
  </si>
  <si>
    <t>POPEES</t>
  </si>
  <si>
    <t>POSTES</t>
  </si>
  <si>
    <t>POSTMAES</t>
  </si>
  <si>
    <t>PRIDGEONSTADIUM</t>
  </si>
  <si>
    <t>RECYCLECENTER</t>
  </si>
  <si>
    <t>REEDES</t>
  </si>
  <si>
    <t>RENNELLES</t>
  </si>
  <si>
    <t>ROBINSONES</t>
  </si>
  <si>
    <t>ROBISONES</t>
  </si>
  <si>
    <t>SALYARDSMS</t>
  </si>
  <si>
    <t>SAMPSONES</t>
  </si>
  <si>
    <t>SATELLITECOLDFOODWAREHOUSE</t>
  </si>
  <si>
    <t>SHERIDANES</t>
  </si>
  <si>
    <t>SMITHMS</t>
  </si>
  <si>
    <t>SPILLANEMS</t>
  </si>
  <si>
    <t>SWENKEES</t>
  </si>
  <si>
    <t>TELGETRANS</t>
  </si>
  <si>
    <t>THORNTONMS</t>
  </si>
  <si>
    <t>TIPPSES</t>
  </si>
  <si>
    <t>TRUITTMS</t>
  </si>
  <si>
    <t>WALKERES</t>
  </si>
  <si>
    <t>WARNERES</t>
  </si>
  <si>
    <t>WATKINSMS</t>
  </si>
  <si>
    <t>WELLSES</t>
  </si>
  <si>
    <t>WESTGREENAGSCIENCECENTER</t>
  </si>
  <si>
    <t>WESTGREENTRANS</t>
  </si>
  <si>
    <t>WILLBERNES</t>
  </si>
  <si>
    <t>WILSONES</t>
  </si>
  <si>
    <t>WINDFERNANNEX</t>
  </si>
  <si>
    <t>WINDFERNHS</t>
  </si>
  <si>
    <t>WOODARDES</t>
  </si>
  <si>
    <t>YEAGERES</t>
  </si>
  <si>
    <t>Nat_Gas</t>
  </si>
  <si>
    <t>Water</t>
  </si>
  <si>
    <t>Irrigation</t>
  </si>
  <si>
    <t>Fire</t>
  </si>
  <si>
    <t>Row Labels</t>
  </si>
  <si>
    <t>Grand Total</t>
  </si>
  <si>
    <t>(All)</t>
  </si>
  <si>
    <t>Average of Area</t>
  </si>
  <si>
    <t>Average</t>
  </si>
  <si>
    <t>Avg.</t>
  </si>
  <si>
    <t>Annual</t>
  </si>
  <si>
    <t>Sq Feet</t>
  </si>
  <si>
    <t>Cost/Sq.Ft.</t>
  </si>
  <si>
    <t>Sum of Cost</t>
  </si>
  <si>
    <t>Cost/SF</t>
  </si>
  <si>
    <t>Sum of Area</t>
  </si>
  <si>
    <t>Wt. Avg.</t>
  </si>
  <si>
    <t>Matt</t>
  </si>
  <si>
    <t>CY-FALLSAGVOC</t>
  </si>
  <si>
    <t>CY-WOODSCARLTONCENTERKITCHEN</t>
  </si>
  <si>
    <t>Schools Only</t>
  </si>
  <si>
    <t>Mmbtus</t>
  </si>
  <si>
    <t>Sum of Mmbtus</t>
  </si>
  <si>
    <t>Elementary Schools</t>
  </si>
  <si>
    <t>High Schools</t>
  </si>
  <si>
    <t>Middle Schools</t>
  </si>
  <si>
    <t>Special Schools</t>
  </si>
  <si>
    <t>Total</t>
  </si>
  <si>
    <t>Costs per Squ. ft.</t>
  </si>
  <si>
    <t>Costs</t>
  </si>
  <si>
    <t>COSTS</t>
  </si>
  <si>
    <t>%</t>
  </si>
  <si>
    <t>SQU FT</t>
  </si>
  <si>
    <t xml:space="preserve">School Type Sorted </t>
  </si>
  <si>
    <r>
      <t>COST/ ft</t>
    </r>
    <r>
      <rPr>
        <b/>
        <vertAlign val="superscript"/>
        <sz val="14"/>
        <color theme="1"/>
        <rFont val="Calibri"/>
        <family val="2"/>
        <scheme val="minor"/>
      </rPr>
      <t>2</t>
    </r>
  </si>
  <si>
    <t>CY-FAIRCOMPLEX</t>
  </si>
  <si>
    <t>(Multiple Items)</t>
  </si>
  <si>
    <t>ALL</t>
  </si>
  <si>
    <t>COST/ ft2</t>
  </si>
  <si>
    <t>kWh/SF</t>
  </si>
  <si>
    <t>kBtus/SF</t>
  </si>
  <si>
    <t>Energy Benchmarks</t>
  </si>
  <si>
    <t>District</t>
  </si>
  <si>
    <t>Benchmark</t>
  </si>
  <si>
    <t>Gas</t>
  </si>
  <si>
    <t>kbtus</t>
  </si>
  <si>
    <t>Location:</t>
  </si>
  <si>
    <t>Cypress Fairbanks ISD [Cypress Fairbanks ISD]</t>
  </si>
  <si>
    <t>Time:</t>
  </si>
  <si>
    <t>Commodity:</t>
  </si>
  <si>
    <t>Created By:</t>
  </si>
  <si>
    <t>Jay Bonham</t>
  </si>
  <si>
    <t>Year</t>
  </si>
  <si>
    <t>Use (KGAL)</t>
  </si>
  <si>
    <t>2020YTD</t>
  </si>
  <si>
    <t>Fire Protection</t>
  </si>
  <si>
    <t>Total Water</t>
  </si>
  <si>
    <t>KGAL</t>
  </si>
  <si>
    <t>MMBTUs</t>
  </si>
  <si>
    <t>Natural Gas</t>
  </si>
  <si>
    <t>MMBtus Gas</t>
  </si>
  <si>
    <t>Consumption</t>
  </si>
  <si>
    <t>kWhs</t>
  </si>
  <si>
    <t>Gallons</t>
  </si>
  <si>
    <t>Therms</t>
  </si>
  <si>
    <t>UTILITY COSTS</t>
  </si>
  <si>
    <t>Total Squ Ft.</t>
  </si>
  <si>
    <t>Annual Usage</t>
  </si>
  <si>
    <t>Prepared by Jay Bonham, Energy Manager</t>
  </si>
  <si>
    <t>Electric Only</t>
  </si>
  <si>
    <t>Nat Gas</t>
  </si>
  <si>
    <t>Per kWh</t>
  </si>
  <si>
    <t>Per kGal</t>
  </si>
  <si>
    <t>Per Therm</t>
  </si>
  <si>
    <t>Blended Rate</t>
  </si>
  <si>
    <t>BRAUTIGAMCENTER</t>
  </si>
  <si>
    <t>MATZKEES</t>
  </si>
  <si>
    <t>(blank)</t>
  </si>
  <si>
    <t>CFISD Energy Management Dept. Utilities (CY 2019)</t>
  </si>
  <si>
    <t>Make sure the total area closly resembles Dan Grozs Area (see Dan's spreadsheet)</t>
  </si>
  <si>
    <t>Use WD YY03 reports, paste values</t>
  </si>
  <si>
    <t>Start Here</t>
  </si>
  <si>
    <t>End Here</t>
  </si>
  <si>
    <t>Refresh all pivot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</si>
</sst>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quot;$&quot;#,##0.000"/>
    <numFmt numFmtId="169" formatCode="[$$-409]#,##0.00_);\([$$-409]#,##0.00\)"/>
    <numFmt numFmtId="177" formatCode="_(* #,##0.0_);_(* \(#,##0.0\);_(* &quot;-&quot;??_);_(@_)"/>
    <numFmt numFmtId="178" formatCode="General"/>
    <numFmt numFmtId="179" formatCode="&quot;$&quot;#,##0.0"/>
    <numFmt numFmtId="180" formatCode="_(&quot;$&quot;* #,##0_);_(&quot;$&quot;* \(#,##0\);_(&quot;$&quot;* &quot;-&quot;??_);_(@_)"/>
    <numFmt numFmtId="181" formatCode="_(&quot;$&quot;* #,##0.0_);_(&quot;$&quot;* \(#,##0.0\);_(&quot;$&quot;* &quot;-&quot;??_);_(@_)"/>
  </numFmts>
  <fonts count="44">
    <font>
      <sz val="14"/>
      <color theme="1"/>
      <name val="Calibri"/>
      <family val="2"/>
      <scheme val="minor"/>
    </font>
    <font>
      <sz val="10"/>
      <name val="Arial"/>
      <family val="2"/>
    </font>
    <font>
      <b/>
      <sz val="10"/>
      <color indexed="8"/>
      <name val="ARIAL"/>
      <family val="2"/>
    </font>
    <font>
      <b/>
      <sz val="14"/>
      <color theme="1"/>
      <name val="Calibri"/>
      <family val="2"/>
      <scheme val="minor"/>
    </font>
    <font>
      <b/>
      <sz val="14"/>
      <color rgb="FF0070C0"/>
      <name val="Calibri"/>
      <family val="2"/>
      <scheme val="minor"/>
    </font>
    <font>
      <sz val="14"/>
      <name val="Calibri"/>
      <family val="2"/>
      <scheme val="minor"/>
    </font>
    <font>
      <b/>
      <sz val="14"/>
      <name val="Calibri"/>
      <family val="2"/>
      <scheme val="minor"/>
    </font>
    <font>
      <i/>
      <sz val="14"/>
      <color theme="1"/>
      <name val="Calibri"/>
      <family val="2"/>
      <scheme val="minor"/>
    </font>
    <font>
      <sz val="10"/>
      <color indexed="8"/>
      <name val="Arial"/>
      <family val="2"/>
    </font>
    <font>
      <b/>
      <sz val="20"/>
      <color theme="0"/>
      <name val="Segoe Print"/>
      <family val="2"/>
    </font>
    <font>
      <sz val="22"/>
      <color theme="1"/>
      <name val="Calibri"/>
      <family val="2"/>
      <scheme val="minor"/>
    </font>
    <font>
      <sz val="18"/>
      <color theme="1"/>
      <name val="Calibri"/>
      <family val="2"/>
      <scheme val="minor"/>
    </font>
    <font>
      <sz val="12"/>
      <color theme="1"/>
      <name val="Calibri"/>
      <family val="2"/>
      <scheme val="minor"/>
    </font>
    <font>
      <b/>
      <sz val="12"/>
      <color theme="1"/>
      <name val="Segoe Print"/>
      <family val="2"/>
    </font>
    <font>
      <b/>
      <sz val="16"/>
      <color rgb="FFFF0000"/>
      <name val="Calibri"/>
      <family val="2"/>
      <scheme val="minor"/>
    </font>
    <font>
      <b/>
      <i/>
      <sz val="20"/>
      <name val="Calibri"/>
      <family val="2"/>
      <scheme val="minor"/>
    </font>
    <font>
      <b/>
      <vertAlign val="superscript"/>
      <sz val="14"/>
      <color theme="1"/>
      <name val="Calibri"/>
      <family val="2"/>
      <scheme val="minor"/>
    </font>
    <font>
      <b/>
      <sz val="14"/>
      <color theme="0"/>
      <name val="Calibri"/>
      <family val="2"/>
      <scheme val="minor"/>
    </font>
    <font>
      <b/>
      <sz val="18"/>
      <color theme="1"/>
      <name val="Arial Black"/>
      <family val="2"/>
    </font>
    <font>
      <b/>
      <sz val="36"/>
      <color rgb="FF0070C0"/>
      <name val="Rockwell Extra Bold"/>
      <family val="1"/>
    </font>
    <font>
      <b/>
      <sz val="48"/>
      <color rgb="FF0070C0"/>
      <name val="Rockwell Extra Bold"/>
      <family val="1"/>
    </font>
    <font>
      <b/>
      <sz val="14"/>
      <color theme="1"/>
      <name val="Arial"/>
      <family val="2"/>
    </font>
    <font>
      <b/>
      <sz val="12"/>
      <name val="Arial Black"/>
      <family val="2"/>
    </font>
    <font>
      <b/>
      <sz val="14"/>
      <color rgb="FF0070C0"/>
      <name val="Arial Black"/>
      <family val="2"/>
    </font>
    <font>
      <b/>
      <sz val="18"/>
      <color theme="1"/>
      <name val="Calibri"/>
      <family val="2"/>
      <scheme val="minor"/>
    </font>
    <font>
      <b/>
      <i/>
      <sz val="14"/>
      <color theme="1"/>
      <name val="Segoe Print"/>
      <family val="2"/>
    </font>
    <font>
      <b/>
      <sz val="12"/>
      <color rgb="FF0070C0"/>
      <name val="Arial Black"/>
      <family val="2"/>
    </font>
    <font>
      <sz val="9"/>
      <name val="Tahoma"/>
      <family val="2"/>
    </font>
    <font>
      <b/>
      <sz val="9"/>
      <name val="Tahoma"/>
      <family val="2"/>
    </font>
    <font>
      <b/>
      <sz val="16"/>
      <color theme="0"/>
      <name val="Calibri"/>
      <family val="2"/>
    </font>
    <font>
      <b/>
      <sz val="28"/>
      <color rgb="FF002060"/>
      <name val="+mn-cs"/>
      <family val="2"/>
    </font>
    <font>
      <sz val="11"/>
      <name val="Calibri"/>
      <family val="2"/>
    </font>
    <font>
      <sz val="18"/>
      <color theme="0"/>
      <name val="Calibri"/>
      <family val="2"/>
    </font>
    <font>
      <b/>
      <sz val="10"/>
      <color theme="1"/>
      <name val="Calibri"/>
      <family val="2"/>
    </font>
    <font>
      <b/>
      <sz val="10"/>
      <color theme="0"/>
      <name val="Calibri"/>
      <family val="2"/>
    </font>
    <font>
      <b/>
      <sz val="14"/>
      <color theme="1" tint="0.25"/>
      <name val="Calibri"/>
      <family val="2"/>
    </font>
    <font>
      <b/>
      <sz val="24"/>
      <color theme="1" tint="0.15"/>
      <name val="Arial Black"/>
      <family val="2"/>
    </font>
    <font>
      <b/>
      <sz val="40"/>
      <color theme="1" tint="0.15"/>
      <name val="Calibri"/>
      <family val="2"/>
    </font>
    <font>
      <b/>
      <sz val="12"/>
      <color rgb="FF0070C0"/>
      <name val="Calibri"/>
      <family val="2"/>
    </font>
    <font>
      <b/>
      <sz val="14"/>
      <color theme="1" tint="0.25"/>
      <name val="+mn-cs"/>
      <family val="2"/>
    </font>
    <font>
      <b/>
      <sz val="16"/>
      <name val="Calibri"/>
      <family val="2"/>
    </font>
    <font>
      <b/>
      <sz val="20"/>
      <color theme="1"/>
      <name val="Calibri"/>
      <family val="2"/>
    </font>
    <font>
      <sz val="14"/>
      <color theme="0"/>
      <name val="Calibri"/>
      <family val="2"/>
      <scheme val="minor"/>
    </font>
    <font>
      <b/>
      <sz val="8"/>
      <name val="Calibri"/>
      <family val="2"/>
    </font>
  </fonts>
  <fills count="28">
    <fill>
      <patternFill/>
    </fill>
    <fill>
      <patternFill patternType="gray125"/>
    </fill>
    <fill>
      <patternFill patternType="solid">
        <fgColor theme="9" tint="0.5999900102615356"/>
        <bgColor indexed="64"/>
      </patternFill>
    </fill>
    <fill>
      <patternFill patternType="solid">
        <fgColor theme="8" tint="0.7999799847602844"/>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2"/>
        <bgColor indexed="64"/>
      </patternFill>
    </fill>
    <fill>
      <patternFill patternType="solid">
        <fgColor theme="7" tint="0.7999799847602844"/>
        <bgColor indexed="64"/>
      </patternFill>
    </fill>
    <fill>
      <patternFill patternType="solid">
        <fgColor rgb="FFFFFF00"/>
        <bgColor indexed="64"/>
      </patternFill>
    </fill>
    <fill>
      <patternFill patternType="solid">
        <fgColor theme="4"/>
        <bgColor indexed="64"/>
      </patternFill>
    </fill>
    <fill>
      <patternFill patternType="solid">
        <fgColor theme="0"/>
        <bgColor indexed="64"/>
      </patternFill>
    </fill>
    <fill>
      <gradientFill degree="135">
        <stop position="0">
          <color theme="0"/>
        </stop>
        <stop position="1">
          <color theme="4"/>
        </stop>
      </gradientFill>
    </fill>
    <fill>
      <patternFill patternType="solid">
        <fgColor theme="4"/>
        <bgColor indexed="64"/>
      </patternFill>
    </fill>
    <fill>
      <patternFill patternType="solid">
        <fgColor rgb="FFFFC00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00B050"/>
        <bgColor indexed="64"/>
      </patternFill>
    </fill>
    <fill>
      <patternFill patternType="solid">
        <fgColor rgb="FF7030A0"/>
        <bgColor indexed="64"/>
      </patternFill>
    </fill>
  </fills>
  <borders count="41">
    <border>
      <left/>
      <right/>
      <top/>
      <bottom/>
      <diagonal/>
    </border>
    <border>
      <left style="thin">
        <color rgb="FF999999"/>
      </left>
      <right/>
      <top style="thin">
        <color rgb="FF999999"/>
      </top>
      <bottom/>
    </border>
    <border>
      <left style="thin">
        <color rgb="FF999999"/>
      </left>
      <right/>
      <top/>
      <bottom/>
    </border>
    <border>
      <left style="medium"/>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medium"/>
      <right style="medium"/>
      <top style="medium"/>
      <bottom style="mediu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medium"/>
      <bottom style="thin"/>
    </border>
    <border>
      <left style="medium"/>
      <right style="medium"/>
      <top/>
      <bottom style="medium"/>
    </border>
    <border>
      <left style="thin">
        <color theme="4" tint="0.39998000860214233"/>
      </left>
      <right/>
      <top style="thin">
        <color theme="4" tint="0.39998000860214233"/>
      </top>
      <bottom/>
    </border>
    <border>
      <left/>
      <right/>
      <top style="thin">
        <color theme="4" tint="0.39998000860214233"/>
      </top>
      <bottom/>
    </border>
    <border>
      <left/>
      <right style="thin">
        <color theme="4" tint="0.39998000860214233"/>
      </right>
      <top style="thin">
        <color theme="4" tint="0.39998000860214233"/>
      </top>
      <bottom/>
    </border>
    <border>
      <left style="thin">
        <color theme="8"/>
      </left>
      <right/>
      <top style="thin">
        <color theme="4" tint="0.39998000860214233"/>
      </top>
      <bottom/>
    </border>
    <border>
      <left style="thin"/>
      <right style="thin"/>
      <top style="thin"/>
      <bottom style="thin"/>
    </border>
    <border>
      <left style="thin"/>
      <right style="thin"/>
      <top style="thin"/>
      <bottom style="medium"/>
    </border>
    <border>
      <left style="medium"/>
      <right/>
      <top style="medium"/>
      <bottom style="thin"/>
    </border>
    <border>
      <left/>
      <right style="medium"/>
      <top style="medium"/>
      <bottom style="thin"/>
    </border>
    <border>
      <left style="thin"/>
      <right style="thin"/>
      <top style="medium"/>
      <bottom style="medium"/>
    </border>
    <border>
      <left/>
      <right/>
      <top/>
      <bottom style="thin"/>
    </border>
    <border>
      <left style="thin">
        <color theme="8"/>
      </left>
      <right/>
      <top style="thin">
        <color theme="8"/>
      </top>
      <bottom/>
    </border>
    <border>
      <left style="thin">
        <color theme="8"/>
      </left>
      <right style="thin">
        <color theme="8"/>
      </right>
      <top style="thin">
        <color theme="8"/>
      </top>
      <botto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lignment vertical="top"/>
      <protection/>
    </xf>
  </cellStyleXfs>
  <cellXfs count="238">
    <xf numFmtId="0" fontId="0" fillId="0" borderId="0" xfId="0"/>
    <xf numFmtId="0" fontId="0" fillId="0" borderId="0" xfId="0"/>
    <xf numFmtId="0" fontId="0" fillId="0" borderId="0" xfId="0" applyAlignment="1">
      <alignment horizontal="left"/>
    </xf>
    <xf numFmtId="164" fontId="0" fillId="0" borderId="0" xfId="0" applyNumberFormat="1"/>
    <xf numFmtId="165" fontId="0" fillId="0" borderId="0" xfId="0" applyNumberFormat="1"/>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right" vertical="top"/>
    </xf>
    <xf numFmtId="0" fontId="2" fillId="0" borderId="1" xfId="0" applyFont="1" applyBorder="1" applyAlignment="1">
      <alignment vertical="top"/>
    </xf>
    <xf numFmtId="0" fontId="2" fillId="0" borderId="2" xfId="0" applyFont="1" applyBorder="1" applyAlignment="1">
      <alignment vertical="top"/>
    </xf>
    <xf numFmtId="0" fontId="0" fillId="2" borderId="0" xfId="0" applyFill="1"/>
    <xf numFmtId="0" fontId="0" fillId="3" borderId="0" xfId="0" applyFill="1"/>
    <xf numFmtId="0" fontId="0" fillId="4" borderId="0" xfId="0" applyFill="1"/>
    <xf numFmtId="0" fontId="0" fillId="5" borderId="0" xfId="0" applyFill="1"/>
    <xf numFmtId="0" fontId="3" fillId="0" borderId="0" xfId="0" applyFont="1" applyAlignment="1">
      <alignment horizontal="center"/>
    </xf>
    <xf numFmtId="0" fontId="0" fillId="6" borderId="0" xfId="0" applyFill="1"/>
    <xf numFmtId="0" fontId="4" fillId="6" borderId="0" xfId="0" applyFont="1" applyFill="1" applyAlignment="1">
      <alignment horizontal="left"/>
    </xf>
    <xf numFmtId="165" fontId="4" fillId="6" borderId="0" xfId="0" applyNumberFormat="1" applyFont="1" applyFill="1"/>
    <xf numFmtId="43" fontId="0" fillId="6" borderId="0" xfId="0" applyNumberFormat="1" applyFill="1"/>
    <xf numFmtId="0" fontId="0" fillId="6" borderId="0" xfId="0" applyFill="1" applyAlignment="1">
      <alignment horizontal="right"/>
    </xf>
    <xf numFmtId="0" fontId="3" fillId="0" borderId="0" xfId="0" applyFont="1"/>
    <xf numFmtId="164" fontId="3" fillId="0" borderId="0" xfId="0" applyNumberFormat="1" applyFont="1"/>
    <xf numFmtId="0" fontId="4" fillId="7" borderId="3" xfId="0" applyFont="1" applyFill="1" applyBorder="1" applyAlignment="1">
      <alignment horizontal="left"/>
    </xf>
    <xf numFmtId="0" fontId="0" fillId="6" borderId="4" xfId="0" applyFill="1" applyBorder="1"/>
    <xf numFmtId="164" fontId="0" fillId="6" borderId="5" xfId="0" applyNumberFormat="1" applyFill="1" applyBorder="1"/>
    <xf numFmtId="164" fontId="0" fillId="6" borderId="6" xfId="0" applyNumberFormat="1" applyFill="1" applyBorder="1"/>
    <xf numFmtId="0" fontId="0" fillId="6" borderId="7" xfId="0" applyFill="1" applyBorder="1"/>
    <xf numFmtId="164" fontId="0" fillId="6" borderId="0" xfId="0" applyNumberFormat="1" applyFill="1" applyBorder="1"/>
    <xf numFmtId="164" fontId="0" fillId="6" borderId="8" xfId="0" applyNumberFormat="1" applyFill="1" applyBorder="1"/>
    <xf numFmtId="0" fontId="0" fillId="6" borderId="9" xfId="0" applyFill="1" applyBorder="1"/>
    <xf numFmtId="164" fontId="0" fillId="6" borderId="10" xfId="0" applyNumberFormat="1" applyFill="1" applyBorder="1"/>
    <xf numFmtId="164" fontId="0" fillId="6" borderId="11" xfId="0" applyNumberFormat="1" applyFill="1" applyBorder="1"/>
    <xf numFmtId="0" fontId="7" fillId="6" borderId="0" xfId="0" applyFont="1" applyFill="1"/>
    <xf numFmtId="164" fontId="0" fillId="6" borderId="0" xfId="16" applyNumberFormat="1" applyFont="1" applyFill="1"/>
    <xf numFmtId="165" fontId="4" fillId="7" borderId="12" xfId="0" applyNumberFormat="1" applyFont="1" applyFill="1" applyBorder="1"/>
    <xf numFmtId="165" fontId="4" fillId="7" borderId="13" xfId="0" applyNumberFormat="1" applyFont="1" applyFill="1" applyBorder="1"/>
    <xf numFmtId="166" fontId="4" fillId="6" borderId="0" xfId="0" applyNumberFormat="1" applyFont="1" applyFill="1"/>
    <xf numFmtId="166" fontId="6" fillId="8" borderId="0" xfId="0" applyNumberFormat="1" applyFont="1" applyFill="1"/>
    <xf numFmtId="0" fontId="4" fillId="0" borderId="3" xfId="0" applyFont="1" applyFill="1" applyBorder="1" applyAlignment="1">
      <alignment horizontal="left"/>
    </xf>
    <xf numFmtId="165" fontId="4" fillId="0" borderId="12" xfId="0" applyNumberFormat="1" applyFont="1" applyFill="1" applyBorder="1"/>
    <xf numFmtId="165" fontId="4" fillId="0" borderId="13" xfId="0" applyNumberFormat="1" applyFont="1" applyFill="1" applyBorder="1"/>
    <xf numFmtId="0" fontId="0" fillId="0" borderId="0" xfId="0" applyFill="1"/>
    <xf numFmtId="0" fontId="6" fillId="0" borderId="14" xfId="0" applyFont="1" applyFill="1" applyBorder="1" applyAlignment="1">
      <alignment horizontal="left"/>
    </xf>
    <xf numFmtId="165" fontId="6" fillId="0" borderId="15" xfId="0" applyNumberFormat="1" applyFont="1" applyFill="1" applyBorder="1"/>
    <xf numFmtId="165" fontId="6" fillId="0" borderId="16" xfId="0" applyNumberFormat="1" applyFont="1" applyFill="1" applyBorder="1"/>
    <xf numFmtId="0" fontId="6" fillId="0" borderId="3" xfId="0" applyFont="1" applyFill="1" applyBorder="1" applyAlignment="1">
      <alignment horizontal="left"/>
    </xf>
    <xf numFmtId="165" fontId="6" fillId="0" borderId="12" xfId="0" applyNumberFormat="1" applyFont="1" applyFill="1" applyBorder="1"/>
    <xf numFmtId="165" fontId="6" fillId="0" borderId="13" xfId="0" applyNumberFormat="1" applyFont="1" applyFill="1" applyBorder="1"/>
    <xf numFmtId="0" fontId="5" fillId="0" borderId="0" xfId="0" applyFont="1" applyFill="1"/>
    <xf numFmtId="0" fontId="6" fillId="0" borderId="17" xfId="0" applyFont="1" applyFill="1" applyBorder="1" applyAlignment="1">
      <alignment horizontal="left"/>
    </xf>
    <xf numFmtId="0" fontId="5" fillId="0" borderId="18" xfId="0" applyFont="1" applyFill="1" applyBorder="1"/>
    <xf numFmtId="0" fontId="5" fillId="0" borderId="19" xfId="0" applyFont="1" applyFill="1" applyBorder="1"/>
    <xf numFmtId="0" fontId="5" fillId="0" borderId="14" xfId="0" applyFont="1" applyFill="1" applyBorder="1"/>
    <xf numFmtId="0" fontId="5" fillId="0" borderId="20" xfId="0" applyFont="1" applyFill="1" applyBorder="1"/>
    <xf numFmtId="0" fontId="5" fillId="0" borderId="21" xfId="0" applyFont="1" applyFill="1" applyBorder="1"/>
    <xf numFmtId="0" fontId="6" fillId="0" borderId="22" xfId="0" applyFont="1" applyFill="1" applyBorder="1" applyAlignment="1">
      <alignment horizontal="left"/>
    </xf>
    <xf numFmtId="165" fontId="6" fillId="0" borderId="23" xfId="0" applyNumberFormat="1" applyFont="1" applyFill="1" applyBorder="1"/>
    <xf numFmtId="165" fontId="6" fillId="0" borderId="21" xfId="0" applyNumberFormat="1" applyFont="1" applyFill="1" applyBorder="1"/>
    <xf numFmtId="0" fontId="3" fillId="0" borderId="22" xfId="0" applyFont="1" applyBorder="1" applyAlignment="1">
      <alignment horizontal="left"/>
    </xf>
    <xf numFmtId="0" fontId="3" fillId="0" borderId="17" xfId="0" applyFont="1" applyBorder="1" applyAlignment="1">
      <alignment horizontal="left"/>
    </xf>
    <xf numFmtId="166" fontId="3" fillId="0" borderId="22" xfId="0" applyNumberFormat="1" applyFont="1" applyBorder="1"/>
    <xf numFmtId="166" fontId="3" fillId="0" borderId="3" xfId="0" applyNumberFormat="1" applyFont="1" applyBorder="1"/>
    <xf numFmtId="166" fontId="10" fillId="0" borderId="24" xfId="0" applyNumberFormat="1" applyFont="1" applyBorder="1"/>
    <xf numFmtId="0" fontId="0" fillId="0" borderId="14" xfId="0" applyFont="1" applyBorder="1" applyAlignment="1">
      <alignment horizontal="left"/>
    </xf>
    <xf numFmtId="0" fontId="11" fillId="9" borderId="14" xfId="0" applyFont="1" applyFill="1" applyBorder="1"/>
    <xf numFmtId="0" fontId="11" fillId="0" borderId="14" xfId="0" applyFont="1" applyBorder="1" applyAlignment="1">
      <alignment horizontal="right"/>
    </xf>
    <xf numFmtId="9" fontId="0" fillId="6" borderId="0" xfId="15" applyFont="1" applyFill="1"/>
    <xf numFmtId="0" fontId="3" fillId="6" borderId="0" xfId="0" applyFont="1" applyFill="1" applyAlignment="1">
      <alignment/>
    </xf>
    <xf numFmtId="0" fontId="3" fillId="6" borderId="0" xfId="0" applyFont="1" applyFill="1" applyAlignment="1">
      <alignment horizontal="right"/>
    </xf>
    <xf numFmtId="165" fontId="12" fillId="6" borderId="0" xfId="18" applyNumberFormat="1" applyFont="1" applyFill="1"/>
    <xf numFmtId="0" fontId="13" fillId="6" borderId="0" xfId="0" applyFont="1" applyFill="1"/>
    <xf numFmtId="166" fontId="14" fillId="10" borderId="3" xfId="0" applyNumberFormat="1" applyFont="1" applyFill="1" applyBorder="1" applyAlignment="1">
      <alignment horizontal="right"/>
    </xf>
    <xf numFmtId="164" fontId="14" fillId="10" borderId="13" xfId="0" applyNumberFormat="1" applyFont="1" applyFill="1" applyBorder="1"/>
    <xf numFmtId="166" fontId="14" fillId="10" borderId="17" xfId="0" applyNumberFormat="1" applyFont="1" applyFill="1" applyBorder="1" applyAlignment="1">
      <alignment horizontal="right"/>
    </xf>
    <xf numFmtId="0" fontId="15" fillId="11" borderId="0" xfId="0" applyFont="1" applyFill="1"/>
    <xf numFmtId="164" fontId="0" fillId="6" borderId="0" xfId="0" applyNumberFormat="1" applyFill="1"/>
    <xf numFmtId="0" fontId="17" fillId="12" borderId="25" xfId="0" applyFont="1" applyFill="1" applyBorder="1"/>
    <xf numFmtId="0" fontId="17" fillId="12" borderId="26" xfId="0" applyFont="1" applyFill="1" applyBorder="1"/>
    <xf numFmtId="0" fontId="17" fillId="12" borderId="27" xfId="0" applyFont="1" applyFill="1" applyBorder="1"/>
    <xf numFmtId="43" fontId="0" fillId="0" borderId="0" xfId="0" applyNumberFormat="1"/>
    <xf numFmtId="0" fontId="3" fillId="0" borderId="3" xfId="0" applyFont="1" applyBorder="1" applyAlignment="1">
      <alignment horizontal="left"/>
    </xf>
    <xf numFmtId="43" fontId="3" fillId="13" borderId="0" xfId="0" applyNumberFormat="1" applyFont="1" applyFill="1"/>
    <xf numFmtId="0" fontId="0" fillId="14" borderId="28" xfId="0" applyFont="1" applyFill="1" applyBorder="1"/>
    <xf numFmtId="164" fontId="0" fillId="7" borderId="29" xfId="0" applyNumberFormat="1" applyFill="1" applyBorder="1" applyAlignment="1">
      <alignment vertical="top"/>
    </xf>
    <xf numFmtId="0" fontId="3" fillId="0" borderId="0" xfId="0" applyFont="1" applyFill="1" applyAlignment="1">
      <alignment/>
    </xf>
    <xf numFmtId="0" fontId="3" fillId="0" borderId="0" xfId="0" applyFont="1" applyFill="1" applyAlignment="1">
      <alignment horizontal="right"/>
    </xf>
    <xf numFmtId="0" fontId="13" fillId="0" borderId="0" xfId="0" applyFont="1" applyFill="1"/>
    <xf numFmtId="166" fontId="4" fillId="0" borderId="0" xfId="0" applyNumberFormat="1" applyFont="1" applyFill="1"/>
    <xf numFmtId="9" fontId="0" fillId="0" borderId="0" xfId="15" applyFont="1" applyFill="1"/>
    <xf numFmtId="165" fontId="12" fillId="0" borderId="0" xfId="18" applyNumberFormat="1" applyFont="1" applyFill="1"/>
    <xf numFmtId="164" fontId="0" fillId="0" borderId="0" xfId="0" applyNumberFormat="1" applyFill="1"/>
    <xf numFmtId="165" fontId="0" fillId="15" borderId="23" xfId="18" applyNumberFormat="1" applyFont="1" applyFill="1" applyBorder="1" applyAlignment="1">
      <alignment vertical="top"/>
    </xf>
    <xf numFmtId="164" fontId="0" fillId="15" borderId="20" xfId="0" applyNumberFormat="1" applyFill="1" applyBorder="1" applyAlignment="1">
      <alignment vertical="top"/>
    </xf>
    <xf numFmtId="166" fontId="0" fillId="15" borderId="21" xfId="0" applyNumberFormat="1" applyFill="1" applyBorder="1" applyAlignment="1">
      <alignment vertical="top"/>
    </xf>
    <xf numFmtId="164" fontId="0" fillId="15" borderId="29" xfId="0" applyNumberFormat="1" applyFill="1" applyBorder="1" applyAlignment="1">
      <alignment vertical="top"/>
    </xf>
    <xf numFmtId="165" fontId="0" fillId="15" borderId="12" xfId="18" applyNumberFormat="1" applyFont="1" applyFill="1" applyBorder="1" applyAlignment="1">
      <alignment vertical="top"/>
    </xf>
    <xf numFmtId="166" fontId="0" fillId="15" borderId="13" xfId="0" applyNumberFormat="1" applyFill="1" applyBorder="1" applyAlignment="1">
      <alignment vertical="top"/>
    </xf>
    <xf numFmtId="165" fontId="0" fillId="15" borderId="15" xfId="18" applyNumberFormat="1" applyFont="1" applyFill="1" applyBorder="1" applyAlignment="1">
      <alignment vertical="top"/>
    </xf>
    <xf numFmtId="164" fontId="0" fillId="15" borderId="30" xfId="0" applyNumberFormat="1" applyFill="1" applyBorder="1" applyAlignment="1">
      <alignment vertical="top"/>
    </xf>
    <xf numFmtId="166" fontId="0" fillId="15" borderId="16" xfId="0" applyNumberFormat="1" applyFill="1" applyBorder="1" applyAlignment="1">
      <alignment vertical="top"/>
    </xf>
    <xf numFmtId="165" fontId="0" fillId="16" borderId="23" xfId="18" applyNumberFormat="1" applyFont="1" applyFill="1" applyBorder="1" applyAlignment="1">
      <alignment vertical="top"/>
    </xf>
    <xf numFmtId="164" fontId="0" fillId="16" borderId="20" xfId="0" applyNumberFormat="1" applyFill="1" applyBorder="1" applyAlignment="1">
      <alignment vertical="top"/>
    </xf>
    <xf numFmtId="166" fontId="0" fillId="16" borderId="21" xfId="0" applyNumberFormat="1" applyFill="1" applyBorder="1" applyAlignment="1">
      <alignment vertical="top"/>
    </xf>
    <xf numFmtId="164" fontId="0" fillId="16" borderId="29" xfId="0" applyNumberFormat="1" applyFill="1" applyBorder="1" applyAlignment="1">
      <alignment vertical="top"/>
    </xf>
    <xf numFmtId="165" fontId="0" fillId="16" borderId="12" xfId="18" applyNumberFormat="1" applyFont="1" applyFill="1" applyBorder="1" applyAlignment="1">
      <alignment vertical="top"/>
    </xf>
    <xf numFmtId="166" fontId="0" fillId="16" borderId="13" xfId="0" applyNumberFormat="1" applyFill="1" applyBorder="1" applyAlignment="1">
      <alignment vertical="top"/>
    </xf>
    <xf numFmtId="165" fontId="0" fillId="16" borderId="15" xfId="18" applyNumberFormat="1" applyFont="1" applyFill="1" applyBorder="1" applyAlignment="1">
      <alignment vertical="top"/>
    </xf>
    <xf numFmtId="164" fontId="0" fillId="16" borderId="30" xfId="0" applyNumberFormat="1" applyFill="1" applyBorder="1" applyAlignment="1">
      <alignment vertical="top"/>
    </xf>
    <xf numFmtId="166" fontId="0" fillId="16" borderId="16" xfId="0" applyNumberFormat="1" applyFill="1" applyBorder="1" applyAlignment="1">
      <alignment vertical="top"/>
    </xf>
    <xf numFmtId="165" fontId="0" fillId="7" borderId="23" xfId="18" applyNumberFormat="1" applyFont="1" applyFill="1" applyBorder="1" applyAlignment="1">
      <alignment vertical="top"/>
    </xf>
    <xf numFmtId="164" fontId="0" fillId="7" borderId="20" xfId="0" applyNumberFormat="1" applyFill="1" applyBorder="1" applyAlignment="1">
      <alignment vertical="top"/>
    </xf>
    <xf numFmtId="166" fontId="0" fillId="7" borderId="21" xfId="0" applyNumberFormat="1" applyFill="1" applyBorder="1" applyAlignment="1">
      <alignment vertical="top"/>
    </xf>
    <xf numFmtId="165" fontId="0" fillId="7" borderId="12" xfId="18" applyNumberFormat="1" applyFont="1" applyFill="1" applyBorder="1" applyAlignment="1">
      <alignment vertical="top"/>
    </xf>
    <xf numFmtId="166" fontId="0" fillId="7" borderId="13" xfId="0" applyNumberFormat="1" applyFill="1" applyBorder="1" applyAlignment="1">
      <alignment vertical="top"/>
    </xf>
    <xf numFmtId="165" fontId="0" fillId="7" borderId="15" xfId="18" applyNumberFormat="1" applyFont="1" applyFill="1" applyBorder="1" applyAlignment="1">
      <alignment vertical="top"/>
    </xf>
    <xf numFmtId="164" fontId="0" fillId="7" borderId="30" xfId="0" applyNumberFormat="1" applyFill="1" applyBorder="1" applyAlignment="1">
      <alignment vertical="top"/>
    </xf>
    <xf numFmtId="166" fontId="0" fillId="7" borderId="16" xfId="0" applyNumberFormat="1" applyFill="1" applyBorder="1" applyAlignment="1">
      <alignment vertical="top"/>
    </xf>
    <xf numFmtId="164" fontId="3" fillId="17" borderId="29" xfId="0" applyNumberFormat="1" applyFont="1" applyFill="1" applyBorder="1" applyAlignment="1">
      <alignment vertical="top"/>
    </xf>
    <xf numFmtId="165" fontId="3" fillId="17" borderId="23" xfId="18" applyNumberFormat="1" applyFont="1" applyFill="1" applyBorder="1" applyAlignment="1">
      <alignment vertical="top"/>
    </xf>
    <xf numFmtId="164" fontId="3" fillId="17" borderId="20" xfId="0" applyNumberFormat="1" applyFont="1" applyFill="1" applyBorder="1" applyAlignment="1">
      <alignment vertical="top"/>
    </xf>
    <xf numFmtId="166" fontId="3" fillId="17" borderId="21" xfId="0" applyNumberFormat="1" applyFont="1" applyFill="1" applyBorder="1" applyAlignment="1">
      <alignment vertical="top"/>
    </xf>
    <xf numFmtId="165" fontId="3" fillId="17" borderId="12" xfId="18" applyNumberFormat="1" applyFont="1" applyFill="1" applyBorder="1" applyAlignment="1">
      <alignment vertical="top"/>
    </xf>
    <xf numFmtId="166" fontId="3" fillId="17" borderId="13" xfId="0" applyNumberFormat="1" applyFont="1" applyFill="1" applyBorder="1" applyAlignment="1">
      <alignment vertical="top"/>
    </xf>
    <xf numFmtId="165" fontId="3" fillId="17" borderId="15" xfId="18" applyNumberFormat="1" applyFont="1" applyFill="1" applyBorder="1" applyAlignment="1">
      <alignment vertical="top"/>
    </xf>
    <xf numFmtId="164" fontId="3" fillId="17" borderId="30" xfId="0" applyNumberFormat="1" applyFont="1" applyFill="1" applyBorder="1" applyAlignment="1">
      <alignment vertical="top"/>
    </xf>
    <xf numFmtId="166" fontId="3" fillId="17" borderId="16" xfId="0" applyNumberFormat="1" applyFont="1" applyFill="1" applyBorder="1" applyAlignment="1">
      <alignment vertical="top"/>
    </xf>
    <xf numFmtId="0" fontId="5" fillId="0" borderId="0" xfId="0" applyFont="1" applyFill="1" applyAlignment="1">
      <alignment horizontal="right"/>
    </xf>
    <xf numFmtId="43" fontId="6" fillId="8" borderId="0" xfId="0" applyNumberFormat="1" applyFont="1" applyFill="1" applyAlignment="1">
      <alignment horizontal="right"/>
    </xf>
    <xf numFmtId="2" fontId="6" fillId="16" borderId="0" xfId="0" applyNumberFormat="1" applyFont="1" applyFill="1" applyAlignment="1">
      <alignment horizontal="right"/>
    </xf>
    <xf numFmtId="0" fontId="6" fillId="0" borderId="0" xfId="0" applyFont="1" applyFill="1" applyAlignment="1">
      <alignment horizontal="right"/>
    </xf>
    <xf numFmtId="0" fontId="9" fillId="12" borderId="31" xfId="0" applyFont="1" applyFill="1" applyBorder="1" applyAlignment="1">
      <alignment/>
    </xf>
    <xf numFmtId="0" fontId="9" fillId="12" borderId="32" xfId="0" applyFont="1" applyFill="1" applyBorder="1" applyAlignment="1">
      <alignment/>
    </xf>
    <xf numFmtId="0" fontId="21" fillId="7" borderId="22" xfId="0" applyFont="1" applyFill="1" applyBorder="1" applyAlignment="1">
      <alignment horizontal="center"/>
    </xf>
    <xf numFmtId="0" fontId="21" fillId="7" borderId="17" xfId="0" applyFont="1" applyFill="1" applyBorder="1" applyAlignment="1">
      <alignment horizontal="center"/>
    </xf>
    <xf numFmtId="0" fontId="22" fillId="7" borderId="18"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19" xfId="0" applyFont="1" applyFill="1" applyBorder="1" applyAlignment="1">
      <alignment horizontal="center" vertical="center" wrapText="1"/>
    </xf>
    <xf numFmtId="167" fontId="23" fillId="7" borderId="23" xfId="0" applyNumberFormat="1" applyFont="1" applyFill="1" applyBorder="1" applyAlignment="1">
      <alignment horizontal="center"/>
    </xf>
    <xf numFmtId="167" fontId="23" fillId="7" borderId="21" xfId="0" applyNumberFormat="1" applyFont="1" applyFill="1" applyBorder="1" applyAlignment="1">
      <alignment horizontal="center"/>
    </xf>
    <xf numFmtId="167" fontId="23" fillId="7" borderId="15" xfId="0" applyNumberFormat="1" applyFont="1" applyFill="1" applyBorder="1" applyAlignment="1">
      <alignment horizontal="center"/>
    </xf>
    <xf numFmtId="167" fontId="23" fillId="7" borderId="16" xfId="0" applyNumberFormat="1" applyFont="1" applyFill="1" applyBorder="1" applyAlignment="1">
      <alignment horizontal="center"/>
    </xf>
    <xf numFmtId="9" fontId="0" fillId="0" borderId="0" xfId="15" applyFont="1"/>
    <xf numFmtId="22" fontId="0" fillId="0" borderId="0" xfId="0" applyNumberFormat="1"/>
    <xf numFmtId="4" fontId="0" fillId="0" borderId="0" xfId="0" applyNumberFormat="1"/>
    <xf numFmtId="0" fontId="0" fillId="0" borderId="0" xfId="0" applyAlignment="1">
      <alignment horizontal="right"/>
    </xf>
    <xf numFmtId="0" fontId="3" fillId="0" borderId="0" xfId="0" applyFont="1" applyAlignment="1">
      <alignment horizontal="right"/>
    </xf>
    <xf numFmtId="165" fontId="3" fillId="13" borderId="0" xfId="0" applyNumberFormat="1" applyFont="1" applyFill="1"/>
    <xf numFmtId="165" fontId="23" fillId="7" borderId="23" xfId="18" applyNumberFormat="1" applyFont="1" applyFill="1" applyBorder="1" applyAlignment="1">
      <alignment horizontal="center"/>
    </xf>
    <xf numFmtId="0" fontId="21" fillId="7" borderId="14" xfId="0" applyFont="1" applyFill="1" applyBorder="1" applyAlignment="1">
      <alignment horizontal="center"/>
    </xf>
    <xf numFmtId="165" fontId="23" fillId="7" borderId="18" xfId="18" applyNumberFormat="1" applyFont="1" applyFill="1" applyBorder="1" applyAlignment="1">
      <alignment horizontal="center"/>
    </xf>
    <xf numFmtId="167" fontId="23" fillId="7" borderId="21" xfId="0" applyNumberFormat="1" applyFont="1" applyFill="1" applyBorder="1" applyAlignment="1">
      <alignment horizontal="left"/>
    </xf>
    <xf numFmtId="167" fontId="23" fillId="7" borderId="19" xfId="0" applyNumberFormat="1" applyFont="1" applyFill="1" applyBorder="1" applyAlignment="1">
      <alignment horizontal="left"/>
    </xf>
    <xf numFmtId="0" fontId="13" fillId="6" borderId="34" xfId="0" applyFont="1" applyFill="1" applyBorder="1"/>
    <xf numFmtId="166" fontId="4" fillId="6" borderId="34" xfId="0" applyNumberFormat="1" applyFont="1" applyFill="1" applyBorder="1"/>
    <xf numFmtId="9" fontId="0" fillId="6" borderId="34" xfId="15" applyFont="1" applyFill="1" applyBorder="1"/>
    <xf numFmtId="165" fontId="12" fillId="6" borderId="34" xfId="18" applyNumberFormat="1" applyFont="1" applyFill="1" applyBorder="1"/>
    <xf numFmtId="164" fontId="0" fillId="6" borderId="34" xfId="0" applyNumberFormat="1" applyFill="1" applyBorder="1"/>
    <xf numFmtId="166" fontId="18" fillId="8" borderId="0" xfId="0" applyNumberFormat="1" applyFont="1" applyFill="1"/>
    <xf numFmtId="165" fontId="24" fillId="6" borderId="0" xfId="18" applyNumberFormat="1" applyFont="1" applyFill="1" applyAlignment="1">
      <alignment horizontal="left"/>
    </xf>
    <xf numFmtId="165" fontId="24" fillId="6" borderId="0" xfId="18" applyNumberFormat="1" applyFont="1" applyFill="1" applyAlignment="1">
      <alignment horizontal="right"/>
    </xf>
    <xf numFmtId="164" fontId="23" fillId="7" borderId="23" xfId="18" applyNumberFormat="1" applyFont="1" applyFill="1" applyBorder="1" applyAlignment="1">
      <alignment horizontal="center"/>
    </xf>
    <xf numFmtId="168" fontId="23" fillId="7" borderId="23" xfId="18" applyNumberFormat="1" applyFont="1" applyFill="1" applyBorder="1" applyAlignment="1">
      <alignment horizontal="center"/>
    </xf>
    <xf numFmtId="168" fontId="23" fillId="7" borderId="18" xfId="18" applyNumberFormat="1" applyFont="1" applyFill="1" applyBorder="1" applyAlignment="1">
      <alignment horizontal="center"/>
    </xf>
    <xf numFmtId="167" fontId="26" fillId="7" borderId="21" xfId="0" applyNumberFormat="1" applyFont="1" applyFill="1" applyBorder="1" applyAlignment="1">
      <alignment horizontal="left"/>
    </xf>
    <xf numFmtId="167" fontId="26" fillId="7" borderId="19" xfId="0" applyNumberFormat="1" applyFont="1" applyFill="1" applyBorder="1" applyAlignment="1">
      <alignment horizontal="left"/>
    </xf>
    <xf numFmtId="0" fontId="0" fillId="0" borderId="5" xfId="0" applyBorder="1"/>
    <xf numFmtId="0" fontId="0" fillId="0" borderId="6" xfId="0" applyBorder="1"/>
    <xf numFmtId="0" fontId="0" fillId="0" borderId="0" xfId="0" applyBorder="1"/>
    <xf numFmtId="0" fontId="0" fillId="0" borderId="8" xfId="0" applyBorder="1"/>
    <xf numFmtId="0" fontId="0" fillId="5" borderId="0" xfId="0" applyFill="1" applyBorder="1"/>
    <xf numFmtId="0" fontId="4" fillId="5" borderId="0" xfId="0" applyFont="1" applyFill="1" applyBorder="1" applyAlignment="1">
      <alignment horizontal="left"/>
    </xf>
    <xf numFmtId="166" fontId="4" fillId="5" borderId="0" xfId="0" applyNumberFormat="1" applyFont="1" applyFill="1" applyBorder="1"/>
    <xf numFmtId="165" fontId="4" fillId="5" borderId="0" xfId="0" applyNumberFormat="1" applyFont="1" applyFill="1" applyBorder="1"/>
    <xf numFmtId="166" fontId="6" fillId="5" borderId="0" xfId="0" applyNumberFormat="1" applyFont="1" applyFill="1" applyBorder="1"/>
    <xf numFmtId="0" fontId="0" fillId="18" borderId="0" xfId="0" applyFill="1" applyBorder="1"/>
    <xf numFmtId="0" fontId="4" fillId="18" borderId="0" xfId="0" applyFont="1" applyFill="1" applyBorder="1" applyAlignment="1">
      <alignment horizontal="left"/>
    </xf>
    <xf numFmtId="166" fontId="4" fillId="18" borderId="0" xfId="0" applyNumberFormat="1" applyFont="1" applyFill="1" applyBorder="1"/>
    <xf numFmtId="165" fontId="4" fillId="18" borderId="0" xfId="0" applyNumberFormat="1" applyFont="1" applyFill="1" applyBorder="1"/>
    <xf numFmtId="0" fontId="0" fillId="0" borderId="7" xfId="0" applyBorder="1"/>
    <xf numFmtId="166" fontId="6" fillId="18" borderId="0" xfId="0" applyNumberFormat="1" applyFont="1" applyFill="1" applyBorder="1"/>
    <xf numFmtId="0" fontId="0" fillId="19" borderId="0" xfId="0" applyFill="1" applyBorder="1"/>
    <xf numFmtId="0" fontId="0" fillId="5" borderId="0" xfId="0" applyFill="1" applyBorder="1"/>
    <xf numFmtId="0" fontId="4" fillId="19" borderId="0" xfId="0" applyFont="1" applyFill="1" applyBorder="1" applyAlignment="1">
      <alignment horizontal="left"/>
    </xf>
    <xf numFmtId="166" fontId="4" fillId="19" borderId="0" xfId="0" applyNumberFormat="1" applyFont="1" applyFill="1" applyBorder="1"/>
    <xf numFmtId="165" fontId="4" fillId="19" borderId="0" xfId="0" applyNumberFormat="1" applyFont="1" applyFill="1" applyBorder="1"/>
    <xf numFmtId="166" fontId="6" fillId="19" borderId="0" xfId="0" applyNumberFormat="1" applyFont="1" applyFill="1" applyBorder="1"/>
    <xf numFmtId="0" fontId="0" fillId="0" borderId="9" xfId="0" applyBorder="1"/>
    <xf numFmtId="0" fontId="0" fillId="0" borderId="10" xfId="0" applyBorder="1"/>
    <xf numFmtId="0" fontId="0" fillId="0" borderId="11" xfId="0" applyBorder="1"/>
    <xf numFmtId="0" fontId="0" fillId="8" borderId="0" xfId="0" applyFill="1"/>
    <xf numFmtId="0" fontId="0" fillId="15" borderId="0" xfId="0" applyFill="1"/>
    <xf numFmtId="0" fontId="0" fillId="16" borderId="0" xfId="0" applyFill="1"/>
    <xf numFmtId="0" fontId="0" fillId="5" borderId="0" xfId="0" applyFill="1" applyAlignment="1">
      <alignment vertical="top"/>
    </xf>
    <xf numFmtId="3" fontId="0" fillId="5" borderId="0" xfId="0" applyNumberFormat="1" applyFill="1" applyAlignment="1">
      <alignment vertical="top"/>
    </xf>
    <xf numFmtId="14" fontId="0" fillId="5" borderId="0" xfId="0" applyNumberFormat="1" applyFill="1" applyAlignment="1">
      <alignment vertical="top"/>
    </xf>
    <xf numFmtId="167" fontId="0" fillId="5" borderId="0" xfId="0" applyNumberFormat="1" applyFill="1" applyAlignment="1">
      <alignment vertical="top"/>
    </xf>
    <xf numFmtId="169" fontId="0" fillId="5" borderId="0" xfId="0" applyNumberFormat="1" applyFill="1" applyAlignment="1">
      <alignment vertical="top"/>
    </xf>
    <xf numFmtId="4" fontId="0" fillId="5" borderId="0" xfId="0" applyNumberFormat="1" applyFill="1" applyAlignment="1">
      <alignment vertical="top"/>
    </xf>
    <xf numFmtId="0" fontId="0" fillId="20" borderId="0" xfId="0" applyFill="1" applyAlignment="1">
      <alignment vertical="top"/>
    </xf>
    <xf numFmtId="3" fontId="0" fillId="20" borderId="0" xfId="0" applyNumberFormat="1" applyFill="1" applyAlignment="1">
      <alignment vertical="top"/>
    </xf>
    <xf numFmtId="14" fontId="0" fillId="20" borderId="0" xfId="0" applyNumberFormat="1" applyFill="1" applyAlignment="1">
      <alignment vertical="top"/>
    </xf>
    <xf numFmtId="167" fontId="0" fillId="20" borderId="0" xfId="0" applyNumberFormat="1" applyFill="1" applyAlignment="1">
      <alignment vertical="top"/>
    </xf>
    <xf numFmtId="169" fontId="0" fillId="20" borderId="0" xfId="0" applyNumberFormat="1" applyFill="1" applyAlignment="1">
      <alignment vertical="top"/>
    </xf>
    <xf numFmtId="4" fontId="0" fillId="20" borderId="0" xfId="0" applyNumberFormat="1" applyFill="1" applyAlignment="1">
      <alignment vertical="top"/>
    </xf>
    <xf numFmtId="0" fontId="0" fillId="15" borderId="0" xfId="0" applyFill="1" applyAlignment="1">
      <alignment vertical="top"/>
    </xf>
    <xf numFmtId="3" fontId="0" fillId="15" borderId="0" xfId="0" applyNumberFormat="1" applyFill="1" applyAlignment="1">
      <alignment vertical="top"/>
    </xf>
    <xf numFmtId="14" fontId="0" fillId="15" borderId="0" xfId="0" applyNumberFormat="1" applyFill="1" applyAlignment="1">
      <alignment vertical="top"/>
    </xf>
    <xf numFmtId="167" fontId="0" fillId="15" borderId="0" xfId="0" applyNumberFormat="1" applyFill="1" applyAlignment="1">
      <alignment vertical="top"/>
    </xf>
    <xf numFmtId="169" fontId="0" fillId="15" borderId="0" xfId="0" applyNumberFormat="1" applyFill="1" applyAlignment="1">
      <alignment vertical="top"/>
    </xf>
    <xf numFmtId="4" fontId="0" fillId="15" borderId="0" xfId="0" applyNumberFormat="1" applyFill="1" applyAlignment="1">
      <alignment vertical="top"/>
    </xf>
    <xf numFmtId="0" fontId="0" fillId="16" borderId="35" xfId="0" applyFont="1" applyFill="1" applyBorder="1"/>
    <xf numFmtId="0" fontId="0" fillId="16" borderId="36" xfId="0" applyFont="1" applyFill="1" applyBorder="1"/>
    <xf numFmtId="0" fontId="0" fillId="21" borderId="35" xfId="0" applyFont="1" applyFill="1" applyBorder="1"/>
    <xf numFmtId="0" fontId="0" fillId="21" borderId="36" xfId="0" applyFont="1" applyFill="1" applyBorder="1"/>
    <xf numFmtId="0" fontId="0" fillId="22" borderId="0" xfId="0" applyFill="1" applyAlignment="1">
      <alignment vertical="top"/>
    </xf>
    <xf numFmtId="3" fontId="0" fillId="22" borderId="0" xfId="0" applyNumberFormat="1" applyFill="1" applyAlignment="1">
      <alignment vertical="top"/>
    </xf>
    <xf numFmtId="14" fontId="0" fillId="22" borderId="0" xfId="0" applyNumberFormat="1" applyFill="1" applyAlignment="1">
      <alignment vertical="top"/>
    </xf>
    <xf numFmtId="167" fontId="0" fillId="22" borderId="0" xfId="0" applyNumberFormat="1" applyFill="1" applyAlignment="1">
      <alignment vertical="top"/>
    </xf>
    <xf numFmtId="169" fontId="0" fillId="22" borderId="0" xfId="0" applyNumberFormat="1" applyFill="1" applyAlignment="1">
      <alignment vertical="top"/>
    </xf>
    <xf numFmtId="4" fontId="0" fillId="22" borderId="0" xfId="0" applyNumberFormat="1" applyFill="1" applyAlignment="1">
      <alignment vertical="top"/>
    </xf>
    <xf numFmtId="0" fontId="0" fillId="23" borderId="25" xfId="0" applyFont="1" applyFill="1" applyBorder="1"/>
    <xf numFmtId="0" fontId="0" fillId="24" borderId="28" xfId="0" applyFont="1" applyFill="1" applyBorder="1"/>
    <xf numFmtId="0" fontId="0" fillId="23" borderId="28" xfId="0" applyFont="1" applyFill="1" applyBorder="1"/>
    <xf numFmtId="0" fontId="0" fillId="25" borderId="28" xfId="0" applyFont="1" applyFill="1" applyBorder="1"/>
    <xf numFmtId="0" fontId="0" fillId="24" borderId="35" xfId="0" applyFont="1" applyFill="1" applyBorder="1"/>
    <xf numFmtId="0" fontId="0" fillId="25" borderId="35" xfId="0" applyFont="1" applyFill="1" applyBorder="1"/>
    <xf numFmtId="0" fontId="0" fillId="0" borderId="14" xfId="0" applyBorder="1"/>
    <xf numFmtId="0" fontId="19" fillId="6" borderId="0" xfId="0" applyFont="1" applyFill="1" applyAlignment="1">
      <alignment horizontal="center"/>
    </xf>
    <xf numFmtId="0" fontId="20" fillId="6" borderId="0" xfId="0" applyFont="1" applyFill="1" applyAlignment="1">
      <alignment horizontal="center"/>
    </xf>
    <xf numFmtId="0" fontId="22" fillId="7" borderId="37" xfId="0" applyFont="1" applyFill="1" applyBorder="1" applyAlignment="1">
      <alignment horizontal="center" vertical="center" wrapText="1"/>
    </xf>
    <xf numFmtId="0" fontId="22" fillId="7" borderId="38" xfId="0" applyFont="1" applyFill="1" applyBorder="1" applyAlignment="1">
      <alignment horizontal="center" vertical="center" wrapText="1"/>
    </xf>
    <xf numFmtId="0" fontId="9" fillId="26" borderId="39" xfId="0" applyFont="1" applyFill="1" applyBorder="1" applyAlignment="1">
      <alignment horizontal="center"/>
    </xf>
    <xf numFmtId="0" fontId="9" fillId="26" borderId="40" xfId="0" applyFont="1" applyFill="1" applyBorder="1" applyAlignment="1">
      <alignment horizontal="center"/>
    </xf>
    <xf numFmtId="0" fontId="9" fillId="26" borderId="38" xfId="0" applyFont="1" applyFill="1" applyBorder="1" applyAlignment="1">
      <alignment horizontal="center"/>
    </xf>
    <xf numFmtId="165" fontId="25" fillId="6" borderId="0" xfId="0" applyNumberFormat="1" applyFont="1" applyFill="1" applyAlignment="1">
      <alignment horizontal="center"/>
    </xf>
    <xf numFmtId="0" fontId="9" fillId="27" borderId="9" xfId="0" applyFont="1" applyFill="1" applyBorder="1" applyAlignment="1">
      <alignment horizontal="center"/>
    </xf>
    <xf numFmtId="0" fontId="9" fillId="27" borderId="10"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 2" xfId="20"/>
  </cellStyles>
  <dxfs count="598">
    <dxf>
      <font>
        <color auto="1"/>
      </font>
    </dxf>
    <dxf>
      <font>
        <color auto="1"/>
      </font>
    </dxf>
    <dxf>
      <font>
        <color auto="1"/>
      </font>
    </dxf>
    <dxf>
      <font>
        <color auto="1"/>
      </font>
    </dxf>
    <dxf>
      <font>
        <color auto="1"/>
      </font>
    </dxf>
    <dxf>
      <font>
        <color auto="1"/>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b/>
      </font>
    </dxf>
    <dxf>
      <font>
        <b/>
      </font>
    </dxf>
    <dxf>
      <font>
        <b val="0"/>
      </font>
    </dxf>
    <dxf>
      <font>
        <b val="0"/>
      </font>
    </dxf>
    <dxf>
      <font>
        <color auto="1"/>
      </font>
    </dxf>
    <dxf>
      <font>
        <color auto="1"/>
      </font>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font>
    </dxf>
    <dxf>
      <font>
        <b/>
      </font>
    </dxf>
    <dxf>
      <font>
        <b/>
      </font>
    </dxf>
    <dxf>
      <font>
        <color rgb="FF0070C0"/>
      </font>
    </dxf>
    <dxf>
      <font>
        <color rgb="FF0070C0"/>
      </font>
    </dxf>
    <dxf>
      <font>
        <color rgb="FF0070C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65" formatCode="_(* #,##0_);_(* \(#,##0\);_(* &quot;-&quot;??_);_(@_)"/>
    </dxf>
    <dxf>
      <numFmt numFmtId="177" formatCode="_(* #,##0.0_);_(* \(#,##0.0\);_(* &quot;-&quot;??_);_(@_)"/>
    </dxf>
    <dxf>
      <numFmt numFmtId="43" formatCode="_(* #,##0.00_);_(* \(#,##0.00\);_(* &quot;-&quot;??_);_(@_)"/>
    </dxf>
    <dxf>
      <numFmt numFmtId="178" formatCode="General"/>
    </dxf>
    <dxf>
      <numFmt numFmtId="43" formatCode="_(* #,##0.00_);_(* \(#,##0.00\);_(* &quot;-&quot;??_);_(@_)"/>
    </dxf>
    <dxf>
      <font>
        <color auto="1"/>
      </font>
    </dxf>
    <dxf>
      <font>
        <color auto="1"/>
      </font>
    </dxf>
    <dxf>
      <font>
        <color auto="1"/>
      </font>
    </dxf>
    <dxf>
      <font>
        <color auto="1"/>
      </font>
    </dxf>
    <dxf>
      <font>
        <color auto="1"/>
      </font>
    </dxf>
    <dxf>
      <font>
        <color auto="1"/>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b/>
      </font>
    </dxf>
    <dxf>
      <font>
        <b/>
      </font>
    </dxf>
    <dxf>
      <font>
        <b val="0"/>
      </font>
    </dxf>
    <dxf>
      <font>
        <b val="0"/>
      </font>
    </dxf>
    <dxf>
      <font>
        <color auto="1"/>
      </font>
    </dxf>
    <dxf>
      <font>
        <color auto="1"/>
      </font>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font>
    </dxf>
    <dxf>
      <font>
        <b/>
      </font>
    </dxf>
    <dxf>
      <font>
        <b/>
      </font>
    </dxf>
    <dxf>
      <font>
        <color rgb="FF0070C0"/>
      </font>
    </dxf>
    <dxf>
      <font>
        <color rgb="FF0070C0"/>
      </font>
    </dxf>
    <dxf>
      <font>
        <color rgb="FF0070C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65" formatCode="_(* #,##0_);_(* \(#,##0\);_(* &quot;-&quot;??_);_(@_)"/>
    </dxf>
    <dxf>
      <numFmt numFmtId="177" formatCode="_(* #,##0.0_);_(* \(#,##0.0\);_(* &quot;-&quot;??_);_(@_)"/>
    </dxf>
    <dxf>
      <numFmt numFmtId="43" formatCode="_(* #,##0.00_);_(* \(#,##0.00\);_(* &quot;-&quot;??_);_(@_)"/>
    </dxf>
    <dxf>
      <numFmt numFmtId="178" formatCode="General"/>
    </dxf>
    <dxf>
      <numFmt numFmtId="43" formatCode="_(* #,##0.00_);_(* \(#,##0.00\);_(* &quot;-&quot;??_);_(@_)"/>
    </dxf>
    <dxf>
      <font>
        <color auto="1"/>
      </font>
    </dxf>
    <dxf>
      <font>
        <color auto="1"/>
      </font>
    </dxf>
    <dxf>
      <font>
        <color auto="1"/>
      </font>
    </dxf>
    <dxf>
      <font>
        <color auto="1"/>
      </font>
    </dxf>
    <dxf>
      <font>
        <color auto="1"/>
      </font>
    </dxf>
    <dxf>
      <font>
        <color auto="1"/>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b/>
      </font>
    </dxf>
    <dxf>
      <font>
        <b/>
      </font>
    </dxf>
    <dxf>
      <font>
        <b val="0"/>
      </font>
    </dxf>
    <dxf>
      <font>
        <b val="0"/>
      </font>
    </dxf>
    <dxf>
      <font>
        <color auto="1"/>
      </font>
    </dxf>
    <dxf>
      <font>
        <color auto="1"/>
      </font>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font>
    </dxf>
    <dxf>
      <font>
        <b/>
      </font>
    </dxf>
    <dxf>
      <font>
        <b/>
      </font>
    </dxf>
    <dxf>
      <font>
        <color rgb="FF0070C0"/>
      </font>
    </dxf>
    <dxf>
      <font>
        <color rgb="FF0070C0"/>
      </font>
    </dxf>
    <dxf>
      <font>
        <color rgb="FF0070C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65" formatCode="_(* #,##0_);_(* \(#,##0\);_(* &quot;-&quot;??_);_(@_)"/>
    </dxf>
    <dxf>
      <numFmt numFmtId="177" formatCode="_(* #,##0.0_);_(* \(#,##0.0\);_(* &quot;-&quot;??_);_(@_)"/>
    </dxf>
    <dxf>
      <numFmt numFmtId="43" formatCode="_(* #,##0.00_);_(* \(#,##0.00\);_(* &quot;-&quot;??_);_(@_)"/>
    </dxf>
    <dxf>
      <numFmt numFmtId="178" formatCode="General"/>
    </dxf>
    <dxf>
      <numFmt numFmtId="43" formatCode="_(* #,##0.00_);_(* \(#,##0.00\);_(* &quot;-&quot;??_);_(@_)"/>
    </dxf>
    <dxf>
      <font>
        <color auto="1"/>
      </font>
    </dxf>
    <dxf>
      <font>
        <color auto="1"/>
      </font>
    </dxf>
    <dxf>
      <font>
        <color auto="1"/>
      </font>
    </dxf>
    <dxf>
      <font>
        <color auto="1"/>
      </font>
    </dxf>
    <dxf>
      <font>
        <color auto="1"/>
      </font>
    </dxf>
    <dxf>
      <font>
        <color auto="1"/>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b/>
      </font>
    </dxf>
    <dxf>
      <font>
        <b/>
      </font>
    </dxf>
    <dxf>
      <font>
        <b val="0"/>
      </font>
    </dxf>
    <dxf>
      <font>
        <b val="0"/>
      </font>
    </dxf>
    <dxf>
      <font>
        <color auto="1"/>
      </font>
    </dxf>
    <dxf>
      <font>
        <color auto="1"/>
      </font>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font>
    </dxf>
    <dxf>
      <font>
        <b/>
      </font>
    </dxf>
    <dxf>
      <font>
        <b/>
      </font>
    </dxf>
    <dxf>
      <font>
        <color rgb="FF0070C0"/>
      </font>
    </dxf>
    <dxf>
      <font>
        <color rgb="FF0070C0"/>
      </font>
    </dxf>
    <dxf>
      <font>
        <color rgb="FF0070C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65" formatCode="_(* #,##0_);_(* \(#,##0\);_(* &quot;-&quot;??_);_(@_)"/>
    </dxf>
    <dxf>
      <numFmt numFmtId="177" formatCode="_(* #,##0.0_);_(* \(#,##0.0\);_(* &quot;-&quot;??_);_(@_)"/>
    </dxf>
    <dxf>
      <numFmt numFmtId="43" formatCode="_(* #,##0.00_);_(* \(#,##0.00\);_(* &quot;-&quot;??_);_(@_)"/>
    </dxf>
    <dxf>
      <numFmt numFmtId="178" formatCode="General"/>
    </dxf>
    <dxf>
      <numFmt numFmtId="43" formatCode="_(* #,##0.00_);_(* \(#,##0.00\);_(* &quot;-&quot;??_);_(@_)"/>
    </dxf>
    <dxf>
      <font>
        <color auto="1"/>
      </font>
    </dxf>
    <dxf>
      <font>
        <color auto="1"/>
      </font>
    </dxf>
    <dxf>
      <font>
        <color auto="1"/>
      </font>
    </dxf>
    <dxf>
      <font>
        <color auto="1"/>
      </font>
    </dxf>
    <dxf>
      <font>
        <color auto="1"/>
      </font>
    </dxf>
    <dxf>
      <font>
        <color auto="1"/>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b/>
      </font>
    </dxf>
    <dxf>
      <font>
        <b/>
      </font>
    </dxf>
    <dxf>
      <font>
        <b val="0"/>
      </font>
    </dxf>
    <dxf>
      <font>
        <b val="0"/>
      </font>
    </dxf>
    <dxf>
      <font>
        <color auto="1"/>
      </font>
    </dxf>
    <dxf>
      <font>
        <color auto="1"/>
      </font>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font>
    </dxf>
    <dxf>
      <font>
        <b/>
      </font>
    </dxf>
    <dxf>
      <font>
        <b/>
      </font>
    </dxf>
    <dxf>
      <font>
        <color rgb="FF0070C0"/>
      </font>
    </dxf>
    <dxf>
      <font>
        <color rgb="FF0070C0"/>
      </font>
    </dxf>
    <dxf>
      <font>
        <color rgb="FF0070C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65" formatCode="_(* #,##0_);_(* \(#,##0\);_(* &quot;-&quot;??_);_(@_)"/>
    </dxf>
    <dxf>
      <numFmt numFmtId="177" formatCode="_(* #,##0.0_);_(* \(#,##0.0\);_(* &quot;-&quot;??_);_(@_)"/>
    </dxf>
    <dxf>
      <numFmt numFmtId="43" formatCode="_(* #,##0.00_);_(* \(#,##0.00\);_(* &quot;-&quot;??_);_(@_)"/>
    </dxf>
    <dxf>
      <numFmt numFmtId="178" formatCode="General"/>
    </dxf>
    <dxf>
      <numFmt numFmtId="43" formatCode="_(* #,##0.00_);_(* \(#,##0.00\);_(* &quot;-&quot;??_);_(@_)"/>
    </dxf>
    <dxf>
      <font>
        <color auto="1"/>
      </font>
    </dxf>
    <dxf>
      <font>
        <color auto="1"/>
      </font>
    </dxf>
    <dxf>
      <font>
        <color auto="1"/>
      </font>
    </dxf>
    <dxf>
      <font>
        <color auto="1"/>
      </font>
    </dxf>
    <dxf>
      <font>
        <color auto="1"/>
      </font>
    </dxf>
    <dxf>
      <font>
        <color auto="1"/>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b/>
      </font>
    </dxf>
    <dxf>
      <font>
        <b/>
      </font>
    </dxf>
    <dxf>
      <font>
        <b val="0"/>
      </font>
    </dxf>
    <dxf>
      <font>
        <b val="0"/>
      </font>
    </dxf>
    <dxf>
      <font>
        <color auto="1"/>
      </font>
    </dxf>
    <dxf>
      <font>
        <color auto="1"/>
      </font>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font>
    </dxf>
    <dxf>
      <font>
        <b/>
      </font>
    </dxf>
    <dxf>
      <font>
        <b/>
      </font>
    </dxf>
    <dxf>
      <font>
        <color rgb="FF0070C0"/>
      </font>
    </dxf>
    <dxf>
      <font>
        <color rgb="FF0070C0"/>
      </font>
    </dxf>
    <dxf>
      <font>
        <color rgb="FF0070C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65" formatCode="_(* #,##0_);_(* \(#,##0\);_(* &quot;-&quot;??_);_(@_)"/>
    </dxf>
    <dxf>
      <numFmt numFmtId="177" formatCode="_(* #,##0.0_);_(* \(#,##0.0\);_(* &quot;-&quot;??_);_(@_)"/>
    </dxf>
    <dxf>
      <numFmt numFmtId="43" formatCode="_(* #,##0.00_);_(* \(#,##0.00\);_(* &quot;-&quot;??_);_(@_)"/>
    </dxf>
    <dxf>
      <numFmt numFmtId="178" formatCode="General"/>
    </dxf>
    <dxf>
      <numFmt numFmtId="43" formatCode="_(* #,##0.00_);_(* \(#,##0.00\);_(* &quot;-&quot;??_);_(@_)"/>
    </dxf>
    <dxf>
      <font>
        <b/>
      </font>
    </dxf>
    <dxf>
      <font>
        <b/>
      </font>
    </dxf>
    <dxf>
      <font>
        <b/>
      </font>
    </dxf>
    <dxf>
      <font>
        <color rgb="FF0070C0"/>
      </font>
    </dxf>
    <dxf>
      <font>
        <color rgb="FF0070C0"/>
      </font>
    </dxf>
    <dxf>
      <font>
        <color rgb="FF0070C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65" formatCode="_(* #,##0_);_(* \(#,##0\);_(* &quot;-&quot;??_);_(@_)"/>
    </dxf>
    <dxf>
      <numFmt numFmtId="177" formatCode="_(* #,##0.0_);_(* \(#,##0.0\);_(* &quot;-&quot;??_);_(@_)"/>
    </dxf>
    <dxf>
      <numFmt numFmtId="43" formatCode="_(* #,##0.00_);_(* \(#,##0.00\);_(* &quot;-&quot;??_);_(@_)"/>
    </dxf>
    <dxf>
      <numFmt numFmtId="178" formatCode="General"/>
    </dxf>
    <dxf>
      <numFmt numFmtId="43" formatCode="_(* #,##0.00_);_(* \(#,##0.00\);_(* &quot;-&quot;??_);_(@_)"/>
    </dxf>
    <dxf>
      <font>
        <sz val="18"/>
      </font>
    </dxf>
    <dxf>
      <font>
        <sz val="18"/>
      </font>
    </dxf>
    <dxf>
      <font>
        <sz val="18"/>
      </font>
    </dxf>
    <dxf>
      <font>
        <sz val="14"/>
      </font>
    </dxf>
    <dxf>
      <font>
        <sz val="16"/>
      </font>
    </dxf>
    <dxf>
      <font>
        <sz val="16"/>
      </font>
    </dxf>
    <dxf>
      <font>
        <sz val="16"/>
      </font>
    </dxf>
    <dxf>
      <font>
        <sz val="22"/>
      </font>
    </dxf>
    <dxf>
      <font>
        <sz val="22"/>
      </font>
    </dxf>
    <dxf>
      <fill>
        <patternFill patternType="solid">
          <bgColor theme="4"/>
        </patternFill>
      </fill>
    </dxf>
    <dxf>
      <alignment horizontal="right" textRotation="0" wrapText="1" shrinkToFit="1" readingOrder="0"/>
    </dxf>
    <dxf>
      <alignment horizontal="right" textRotation="0" wrapText="1" shrinkToFit="1" readingOrder="0"/>
    </dxf>
    <dxf>
      <font>
        <sz val="16"/>
      </font>
    </dxf>
    <dxf>
      <font>
        <b/>
      </font>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thin"/>
        <right style="thin"/>
        <top style="thin"/>
        <bottom style="thin"/>
        <vertical style="thin"/>
        <horizontal style="thin"/>
      </border>
    </dxf>
    <dxf>
      <border>
        <left style="thin"/>
        <right style="thin"/>
        <top style="thin"/>
        <bottom style="thin"/>
        <vertical style="thin"/>
        <horizontal style="thin"/>
      </border>
    </dxf>
    <dxf>
      <font>
        <b/>
      </font>
    </dxf>
    <dxf>
      <numFmt numFmtId="166" formatCode="&quot;$&quot;#,##0"/>
    </dxf>
    <dxf>
      <numFmt numFmtId="179" formatCode="&quot;$&quot;#,##0.0"/>
    </dxf>
    <dxf>
      <numFmt numFmtId="164" formatCode="&quot;$&quot;#,##0.00"/>
    </dxf>
    <dxf>
      <numFmt numFmtId="180" formatCode="_(&quot;$&quot;* #,##0_);_(&quot;$&quot;* \(#,##0\);_(&quot;$&quot;* &quot;-&quot;??_);_(@_)"/>
    </dxf>
    <dxf>
      <numFmt numFmtId="181" formatCode="_(&quot;$&quot;* #,##0.0_);_(&quot;$&quot;* \(#,##0.0\);_(&quot;$&quot;* &quot;-&quot;??_);_(@_)"/>
    </dxf>
    <dxf>
      <numFmt numFmtId="44" formatCode="_(&quot;$&quot;* #,##0.00_);_(&quot;$&quot;* \(#,##0.00\);_(&quot;$&quot;* &quot;-&quot;??_);_(@_)"/>
    </dxf>
    <dxf>
      <numFmt numFmtId="166" formatCode="&quot;$&quot;#,##0"/>
    </dxf>
    <dxf>
      <numFmt numFmtId="179" formatCode="&quot;$&quot;#,##0.0"/>
    </dxf>
    <dxf>
      <fill>
        <patternFill>
          <bgColor rgb="FFFFFF00"/>
        </patternFill>
      </fill>
    </dxf>
    <dxf>
      <font>
        <color auto="1"/>
      </font>
    </dxf>
    <dxf>
      <font>
        <b/>
      </font>
    </dxf>
    <dxf>
      <font>
        <b/>
      </font>
    </dxf>
    <dxf>
      <font>
        <b/>
      </font>
    </dxf>
    <dxf>
      <font>
        <color rgb="FF0070C0"/>
      </font>
    </dxf>
    <dxf>
      <font>
        <color rgb="FF0070C0"/>
      </font>
    </dxf>
    <dxf>
      <font>
        <color rgb="FF0070C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64" formatCode="&quot;$&quot;#,##0.00"/>
    </dxf>
    <dxf>
      <numFmt numFmtId="180" formatCode="_(&quot;$&quot;* #,##0_);_(&quot;$&quot;* \(#,##0\);_(&quot;$&quot;* &quot;-&quot;??_);_(@_)"/>
    </dxf>
    <dxf>
      <numFmt numFmtId="181" formatCode="_(&quot;$&quot;* #,##0.0_);_(&quot;$&quot;* \(#,##0.0\);_(&quot;$&quot;* &quot;-&quot;??_);_(@_)"/>
    </dxf>
    <dxf>
      <numFmt numFmtId="44" formatCode="_(&quot;$&quot;* #,##0.00_);_(&quot;$&quot;* \(#,##0.00\);_(&quot;$&quot;* &quot;-&quot;??_);_(@_)"/>
    </dxf>
    <dxf>
      <numFmt numFmtId="165" formatCode="_(* #,##0_);_(* \(#,##0\);_(* &quot;-&quot;??_);_(@_)"/>
    </dxf>
    <dxf>
      <numFmt numFmtId="177" formatCode="_(* #,##0.0_);_(* \(#,##0.0\);_(* &quot;-&quot;??_);_(@_)"/>
    </dxf>
    <dxf>
      <numFmt numFmtId="43" formatCode="_(* #,##0.00_);_(* \(#,##0.00\);_(* &quot;-&quot;??_);_(@_)"/>
    </dxf>
    <dxf>
      <numFmt numFmtId="178" formatCode="General"/>
    </dxf>
    <dxf>
      <numFmt numFmtId="43" formatCode="_(* #,##0.00_);_(* \(#,##0.00\);_(* &quot;-&quot;??_);_(@_)"/>
    </dxf>
    <dxf>
      <numFmt numFmtId="164" formatCode="&quot;$&quot;#,##0.00"/>
    </dxf>
    <dxf>
      <numFmt numFmtId="180" formatCode="_(&quot;$&quot;* #,##0_);_(&quot;$&quot;* \(#,##0\);_(&quot;$&quot;* &quot;-&quot;??_);_(@_)"/>
    </dxf>
    <dxf>
      <numFmt numFmtId="181" formatCode="_(&quot;$&quot;* #,##0.0_);_(&quot;$&quot;* \(#,##0.0\);_(&quot;$&quot;* &quot;-&quot;??_);_(@_)"/>
    </dxf>
    <dxf>
      <numFmt numFmtId="44" formatCode="_(&quot;$&quot;* #,##0.00_);_(&quot;$&quot;* \(#,##0.00\);_(&quot;$&quot;*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3.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microsoft.com/office/2007/relationships/slicerCache" Target="/xl/slicerCaches/slicerCache4.xml" /><Relationship Id="rId23" Type="http://schemas.microsoft.com/office/2007/relationships/slicerCache" Target="/xl/slicerCaches/slicerCache5.xml" /><Relationship Id="rId24" Type="http://schemas.microsoft.com/office/2007/relationships/slicerCache" Target="/xl/slicerCaches/slicerCache6.xml" /><Relationship Id="rId25" Type="http://schemas.microsoft.com/office/2007/relationships/slicerCache" Target="/xl/slicerCaches/slicerCache7.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[0]Dashboard $!PivotTable1</c:name>
  </c:pivotSource>
  <c:chart>
    <c:autoTitleDeleted val="1"/>
    <c:plotArea>
      <c:layout>
        <c:manualLayout>
          <c:layoutTarget val="inner"/>
          <c:xMode val="edge"/>
          <c:yMode val="edge"/>
          <c:x val="0.153"/>
          <c:y val="0.34175"/>
          <c:w val="0.57475"/>
          <c:h val="0.4035"/>
        </c:manualLayout>
      </c:layout>
      <c:pieChart>
        <c:varyColors val="1"/>
        <c:ser>
          <c:idx val="0"/>
          <c:order val="0"/>
          <c:tx>
            <c:strRef>
              <c:f>'Dashboard $'!$AN$17</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a:noFill/>
              </a:ln>
              <a:effectLst>
                <a:outerShdw blurRad="254000" sx="102000" sy="102000" algn="ctr" rotWithShape="0">
                  <a:prstClr val="black">
                    <a:alpha val="20000"/>
                  </a:prstClr>
                </a:outerShdw>
              </a:effectLst>
            </c:spPr>
          </c:dPt>
          <c:dPt>
            <c:idx val="1"/>
            <c:spPr>
              <a:solidFill>
                <a:schemeClr val="accent2"/>
              </a:solidFill>
              <a:ln>
                <a:noFill/>
              </a:ln>
              <a:effectLst>
                <a:outerShdw blurRad="254000" sx="102000" sy="102000" algn="ctr" rotWithShape="0">
                  <a:prstClr val="black">
                    <a:alpha val="20000"/>
                  </a:prstClr>
                </a:outerShdw>
              </a:effectLst>
            </c:spPr>
          </c:dPt>
          <c:dPt>
            <c:idx val="2"/>
            <c:spPr>
              <a:solidFill>
                <a:schemeClr val="accent3"/>
              </a:solidFill>
              <a:ln>
                <a:noFill/>
              </a:ln>
              <a:effectLst>
                <a:outerShdw blurRad="254000" sx="102000" sy="102000" algn="ctr" rotWithShape="0">
                  <a:prstClr val="black">
                    <a:alpha val="20000"/>
                  </a:prstClr>
                </a:outerShdw>
              </a:effectLst>
            </c:spPr>
          </c:dPt>
          <c:dPt>
            <c:idx val="3"/>
            <c:spPr>
              <a:solidFill>
                <a:srgbClr val="92D050"/>
              </a:solidFill>
              <a:ln>
                <a:noFill/>
              </a:ln>
              <a:effectLst>
                <a:outerShdw blurRad="254000" sx="102000" sy="102000" algn="ctr" rotWithShape="0">
                  <a:prstClr val="black">
                    <a:alpha val="20000"/>
                  </a:prstClr>
                </a:outerShdw>
              </a:effectLst>
            </c:spPr>
          </c:dPt>
          <c:dPt>
            <c:idx val="4"/>
            <c:spPr>
              <a:solidFill>
                <a:schemeClr val="accent5"/>
              </a:solidFill>
              <a:ln>
                <a:noFill/>
              </a:ln>
              <a:effectLst>
                <a:outerShdw blurRad="254000" sx="102000" sy="102000" algn="ctr" rotWithShape="0">
                  <a:prstClr val="black">
                    <a:alpha val="20000"/>
                  </a:prstClr>
                </a:outerShdw>
              </a:effectLst>
            </c:spPr>
          </c:dPt>
          <c:dLbls>
            <c:dLbl>
              <c:idx val="1"/>
              <c:layout>
                <c:manualLayout>
                  <c:x val="-0.0145"/>
                  <c:y val="0.07375"/>
                </c:manualLayout>
              </c:layout>
              <c:txPr>
                <a:bodyPr vert="horz" rot="0" anchor="ctr"/>
                <a:lstStyle/>
                <a:p>
                  <a:pPr algn="ctr">
                    <a:defRPr lang="en-US" cap="none" sz="1000" b="1" i="0" u="none" baseline="0">
                      <a:solidFill>
                        <a:schemeClr val="tx1"/>
                      </a:solidFill>
                      <a:latin typeface="+mn-lt"/>
                      <a:ea typeface="Calibri"/>
                      <a:cs typeface="Calibri"/>
                    </a:defRPr>
                  </a:pPr>
                </a:p>
              </c:txPr>
              <c:numFmt formatCode="General" sourceLinked="1"/>
              <c:spPr>
                <a:noFill/>
                <a:ln>
                  <a:solidFill>
                    <a:schemeClr val="tx1">
                      <a:lumMod val="25000"/>
                      <a:lumOff val="75000"/>
                    </a:schemeClr>
                  </a:solidFill>
                </a:ln>
                <a:effectLst>
                  <a:outerShdw blurRad="50800" dist="38100" dir="2700000" algn="tl" rotWithShape="0">
                    <a:prstClr val="black">
                      <a:alpha val="40000"/>
                    </a:prstClr>
                  </a:outerShdw>
                </a:effectLst>
              </c:spPr>
              <c:dLblPos val="bestFit"/>
              <c:showLegendKey val="0"/>
              <c:showVal val="1"/>
              <c:showBubbleSize val="0"/>
              <c:showCatName val="0"/>
              <c:showSerName val="0"/>
              <c:showPercent val="1"/>
            </c:dLbl>
            <c:dLbl>
              <c:idx val="2"/>
              <c:layout>
                <c:manualLayout>
                  <c:x val="-0.00575"/>
                  <c:y val="-0.083"/>
                </c:manualLayout>
              </c:layout>
              <c:txPr>
                <a:bodyPr vert="horz" rot="0" anchor="ctr"/>
                <a:lstStyle/>
                <a:p>
                  <a:pPr algn="ctr">
                    <a:defRPr lang="en-US" cap="none" sz="1000" b="1" i="0" u="none" baseline="0">
                      <a:solidFill>
                        <a:schemeClr val="tx1"/>
                      </a:solidFill>
                      <a:latin typeface="+mn-lt"/>
                      <a:ea typeface="Calibri"/>
                      <a:cs typeface="Calibri"/>
                    </a:defRPr>
                  </a:pPr>
                </a:p>
              </c:txPr>
              <c:numFmt formatCode="General" sourceLinked="1"/>
              <c:spPr>
                <a:noFill/>
                <a:ln>
                  <a:solidFill>
                    <a:schemeClr val="tx1">
                      <a:lumMod val="25000"/>
                      <a:lumOff val="75000"/>
                    </a:schemeClr>
                  </a:solidFill>
                </a:ln>
                <a:effectLst>
                  <a:outerShdw blurRad="50800" dist="38100" dir="2700000" algn="tl" rotWithShape="0">
                    <a:prstClr val="black">
                      <a:alpha val="40000"/>
                    </a:prstClr>
                  </a:outerShdw>
                </a:effectLst>
              </c:spPr>
              <c:dLblPos val="bestFit"/>
              <c:showLegendKey val="0"/>
              <c:showVal val="1"/>
              <c:showBubbleSize val="0"/>
              <c:showCatName val="0"/>
              <c:showSerName val="0"/>
              <c:showPercent val="1"/>
            </c:dLbl>
            <c:dLbl>
              <c:idx val="3"/>
              <c:layout>
                <c:manualLayout>
                  <c:x val="0.0735"/>
                  <c:y val="-0.1165"/>
                </c:manualLayout>
              </c:layout>
              <c:txPr>
                <a:bodyPr vert="horz" rot="0" anchor="ctr"/>
                <a:lstStyle/>
                <a:p>
                  <a:pPr algn="ctr">
                    <a:defRPr lang="en-US" cap="none" sz="1000" b="1" i="0" u="none" baseline="0">
                      <a:solidFill>
                        <a:schemeClr val="tx1"/>
                      </a:solidFill>
                      <a:latin typeface="+mn-lt"/>
                      <a:ea typeface="Calibri"/>
                      <a:cs typeface="Calibri"/>
                    </a:defRPr>
                  </a:pPr>
                </a:p>
              </c:txPr>
              <c:numFmt formatCode="General" sourceLinked="1"/>
              <c:spPr>
                <a:noFill/>
                <a:ln>
                  <a:solidFill>
                    <a:schemeClr val="tx1">
                      <a:lumMod val="25000"/>
                      <a:lumOff val="75000"/>
                    </a:schemeClr>
                  </a:solidFill>
                </a:ln>
                <a:effectLst>
                  <a:outerShdw blurRad="50800" dist="38100" dir="2700000" algn="tl" rotWithShape="0">
                    <a:prstClr val="black">
                      <a:alpha val="40000"/>
                    </a:prstClr>
                  </a:outerShdw>
                </a:effectLst>
              </c:spPr>
              <c:dLblPos val="bestFit"/>
              <c:showLegendKey val="0"/>
              <c:showVal val="1"/>
              <c:showBubbleSize val="0"/>
              <c:showCatName val="0"/>
              <c:showSerName val="0"/>
              <c:showPercent val="1"/>
            </c:dLbl>
            <c:dLbl>
              <c:idx val="4"/>
              <c:layout>
                <c:manualLayout>
                  <c:x val="0.1495"/>
                  <c:y val="0.0885"/>
                </c:manualLayout>
              </c:layout>
              <c:txPr>
                <a:bodyPr vert="horz" rot="0" anchor="ctr"/>
                <a:lstStyle/>
                <a:p>
                  <a:pPr algn="ctr">
                    <a:defRPr lang="en-US" cap="none" sz="1000" b="1" i="0" u="none" baseline="0">
                      <a:solidFill>
                        <a:schemeClr val="bg1"/>
                      </a:solidFill>
                      <a:latin typeface="+mn-lt"/>
                      <a:ea typeface="Calibri"/>
                      <a:cs typeface="Calibri"/>
                    </a:defRPr>
                  </a:pPr>
                </a:p>
              </c:txPr>
              <c:numFmt formatCode="General" sourceLinked="1"/>
              <c:spPr>
                <a:noFill/>
                <a:ln>
                  <a:noFill/>
                </a:ln>
                <a:effectLst>
                  <a:outerShdw blurRad="50800" dist="38100" dir="2700000" algn="tl" rotWithShape="0">
                    <a:prstClr val="black">
                      <a:alpha val="40000"/>
                    </a:prstClr>
                  </a:outerShdw>
                </a:effectLst>
              </c:spPr>
              <c:dLblPos val="bestFit"/>
              <c:showLegendKey val="0"/>
              <c:showVal val="1"/>
              <c:showBubbleSize val="0"/>
              <c:showCatName val="0"/>
              <c:showSerName val="0"/>
              <c:showPercent val="1"/>
            </c:dLbl>
            <c:numFmt formatCode="General" sourceLinked="1"/>
            <c:spPr>
              <a:noFill/>
              <a:ln>
                <a:solidFill>
                  <a:schemeClr val="tx1">
                    <a:lumMod val="25000"/>
                    <a:lumOff val="75000"/>
                  </a:schemeClr>
                </a:solid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tx1"/>
                    </a:solidFill>
                    <a:latin typeface="+mn-lt"/>
                    <a:ea typeface="Calibri"/>
                    <a:cs typeface="Calibri"/>
                  </a:defRPr>
                </a:pPr>
              </a:p>
            </c:txPr>
            <c:dLblPos val="ctr"/>
            <c:showLegendKey val="0"/>
            <c:showVal val="1"/>
            <c:showBubbleSize val="0"/>
            <c:showCatName val="0"/>
            <c:showSerName val="0"/>
            <c:showLeaderLines val="1"/>
            <c:showPercent val="1"/>
            <c:leaderLines>
              <c:spPr>
                <a:ln w="9525">
                  <a:solidFill>
                    <a:schemeClr val="tx1">
                      <a:lumMod val="50000"/>
                      <a:lumOff val="50000"/>
                    </a:schemeClr>
                  </a:solidFill>
                </a:ln>
              </c:spPr>
            </c:leaderLines>
          </c:dLbls>
          <c:cat>
            <c:strRef>
              <c:f>'Dashboard $'!$AM$18:$AM$23</c:f>
              <c:strCache>
                <c:ptCount val="5"/>
                <c:pt idx="0">
                  <c:v>Electric</c:v>
                </c:pt>
                <c:pt idx="1">
                  <c:v>Fire</c:v>
                </c:pt>
                <c:pt idx="2">
                  <c:v>Irrigation</c:v>
                </c:pt>
                <c:pt idx="3">
                  <c:v>Nat_Gas</c:v>
                </c:pt>
                <c:pt idx="4">
                  <c:v>Water</c:v>
                </c:pt>
              </c:strCache>
            </c:strRef>
          </c:cat>
          <c:val>
            <c:numRef>
              <c:f>'Dashboard $'!$AN$18:$AN$23</c:f>
              <c:numCache>
                <c:formatCode>"$"#,##0</c:formatCode>
                <c:ptCount val="5"/>
                <c:pt idx="0">
                  <c:v>13108431.800000003</c:v>
                </c:pt>
                <c:pt idx="1">
                  <c:v>22267.320000000003</c:v>
                </c:pt>
                <c:pt idx="2">
                  <c:v>748082.2600000001</c:v>
                </c:pt>
                <c:pt idx="3">
                  <c:v>735585.1499999997</c:v>
                </c:pt>
                <c:pt idx="4">
                  <c:v>3242225.8999999985</c:v>
                </c:pt>
              </c:numCache>
            </c:numRef>
          </c:val>
        </c:ser>
      </c:pieChart>
      <c:spPr>
        <a:noFill/>
        <a:ln>
          <a:noFill/>
        </a:ln>
      </c:spPr>
    </c:plotArea>
    <c:legend>
      <c:legendPos val="r"/>
      <c:layout/>
      <c:overlay val="0"/>
      <c:spPr>
        <a:solidFill>
          <a:schemeClr val="bg1">
            <a:lumMod val="95000"/>
            <a:alpha val="39000"/>
          </a:schemeClr>
        </a:solidFill>
        <a:ln>
          <a:noFill/>
        </a:ln>
      </c:spPr>
      <c:txPr>
        <a:bodyPr vert="horz" rot="0"/>
        <a:lstStyle/>
        <a:p>
          <a:pPr>
            <a:defRPr lang="en-US" cap="none" sz="1400" b="1" i="0" u="none" baseline="0">
              <a:solidFill>
                <a:schemeClr val="tx1">
                  <a:lumMod val="75000"/>
                  <a:lumOff val="25000"/>
                </a:schemeClr>
              </a:solidFill>
              <a:latin typeface="+mn-lt"/>
              <a:ea typeface="Calibri"/>
              <a:cs typeface="Calibri"/>
            </a:defRPr>
          </a:pPr>
        </a:p>
      </c:txPr>
    </c:legend>
    <c:plotVisOnly val="1"/>
    <c:dispBlanksAs val="gap"/>
    <c:showDLblsOverMax val="0"/>
    <c:pivotFmts xmlns:c="http://schemas.openxmlformats.org/drawingml/2006/chart">
      <c:pivotFmt>
        <c:idx val="0"/>
      </c:pivotFmt>
      <c:pivotFmt>
        <c:idx val="1"/>
      </c:pivotFmt>
      <c:pivotFmt>
        <c:idx val="2"/>
      </c:pivotFmt>
      <c:pivotFmt>
        <c:idx val="3"/>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extLst>
        </c:dLbl>
      </c:pivotFmt>
      <c:pivotFmt>
        <c:idx val="4"/>
        <c:spPr>
          <a:solidFill xmlns:a="http://schemas.openxmlformats.org/drawingml/2006/main">
            <a:srgbClr val="00B0F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0.10578696893657517"/>
              <c:y val="0.15587999416739573"/>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xmlns:a="http://schemas.openxmlformats.org/drawingml/2006/main">
            <a:srgbClr val="FFFF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6"/>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4.2633407087850194E-3"/>
              <c:y val="-0.1296624380285798"/>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1.8147078976040978E-2"/>
              <c:y val="-7.4082291535881473E-2"/>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no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3992138345344193"/>
                  <c:h val="0.14078703703703704"/>
                </c:manualLayout>
              </c15:layout>
            </c:ext>
          </c:extLst>
        </c:dLbl>
      </c:pivotFmt>
      <c:pivotFmt>
        <c:idx val="8"/>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6.8740719107686435E-2"/>
              <c:y val="0.10425488480606591"/>
            </c:manualLayout>
          </c:layout>
          <c:numFmt formatCode="0.0%" sourceLinked="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9"/>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extLst>
        </c:dLbl>
      </c:pivotFmt>
      <c:pivotFmt>
        <c:idx val="10"/>
        <c:spPr>
          <a:solidFill xmlns:a="http://schemas.openxmlformats.org/drawingml/2006/main">
            <a:srgbClr val="FFFF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1"/>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6.8740719107686435E-2"/>
              <c:y val="0.10425488480606591"/>
            </c:manualLayout>
          </c:layout>
          <c:numFmt formatCode="0.0%" sourceLinked="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2"/>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1.8147078976040978E-2"/>
              <c:y val="-7.4082291535881473E-2"/>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no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3992138345344193"/>
                  <c:h val="0.14078703703703704"/>
                </c:manualLayout>
              </c15:layout>
            </c:ext>
          </c:extLst>
        </c:dLbl>
      </c:pivotFmt>
      <c:pivotFmt>
        <c:idx val="13"/>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4.2633407087850194E-3"/>
              <c:y val="-0.1296624380285798"/>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4"/>
        <c:spPr>
          <a:solidFill xmlns:a="http://schemas.openxmlformats.org/drawingml/2006/main">
            <a:srgbClr val="00B0F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0.10578696893657517"/>
              <c:y val="0.15587999416739573"/>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5"/>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extLst>
        </c:dLbl>
      </c:pivotFmt>
      <c:pivotFmt>
        <c:idx val="16"/>
        <c:spPr>
          <a:solidFill xmlns:a="http://schemas.openxmlformats.org/drawingml/2006/main">
            <a:srgbClr val="FFFF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7"/>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6.8740719107686435E-2"/>
              <c:y val="0.10425488480606591"/>
            </c:manualLayout>
          </c:layout>
          <c:numFmt formatCode="0.0%" sourceLinked="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8"/>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1.8147078976040978E-2"/>
              <c:y val="-7.4082291535881473E-2"/>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no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3992138345344193"/>
                  <c:h val="0.14078703703703704"/>
                </c:manualLayout>
              </c15:layout>
            </c:ext>
          </c:extLst>
        </c:dLbl>
      </c:pivotFmt>
      <c:pivotFmt>
        <c:idx val="19"/>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4.2633407087850194E-3"/>
              <c:y val="-0.1296624380285798"/>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0"/>
        <c:spPr>
          <a:solidFill xmlns:a="http://schemas.openxmlformats.org/drawingml/2006/main">
            <a:srgbClr val="00B0F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0.10578696893657517"/>
              <c:y val="0.15587999416739573"/>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1"/>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layout/>
          <c:spPr>
            <a:noFill xmlns:a="http://schemas.openxmlformats.org/drawingml/2006/main"/>
            <a:ln xmlns:a="http://schemas.openxmlformats.org/drawingml/2006/main">
              <a:solidFill>
                <a:schemeClr val="dk1">
                  <a:lumMod val="25000"/>
                  <a:lumOff val="75000"/>
                </a:schemeClr>
              </a:solid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1"/>
          <c:showBubbleSize val="0"/>
          <c:extLst>
            <c:ext xmlns:c15="http://schemas.microsoft.com/office/drawing/2012/chart" uri="{CE6537A1-D6FC-4f65-9D91-7224C49458BB}">
              <c15:layout/>
            </c:ext>
          </c:extLst>
        </c:dLbl>
      </c:pivotFmt>
      <c:pivotFmt>
        <c:idx val="22"/>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pivotFmt>
      <c:pivotFmt>
        <c:idx val="23"/>
        <c:spPr>
          <a:solidFill xmlns:a="http://schemas.openxmlformats.org/drawingml/2006/main">
            <a:srgbClr val="FFFF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24"/>
        <c:spPr>
          <a:solidFill xmlns:a="http://schemas.openxmlformats.org/drawingml/2006/main">
            <a:srgbClr val="92D05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7.3388378176621666E-2"/>
              <c:y val="-0.11680721789360878"/>
            </c:manualLayout>
          </c:layout>
          <c:spPr>
            <a:noFill xmlns:a="http://schemas.openxmlformats.org/drawingml/2006/main"/>
            <a:ln xmlns:a="http://schemas.openxmlformats.org/drawingml/2006/main">
              <a:solidFill>
                <a:schemeClr val="dk1">
                  <a:lumMod val="25000"/>
                  <a:lumOff val="75000"/>
                </a:schemeClr>
              </a:solid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noAutofit/>
            </a:bodyPr>
            <a:lstStyle xmlns:a="http://schemas.openxmlformats.org/drawingml/2006/main"/>
            <a:p xmlns:a="http://schemas.openxmlformats.org/drawingml/2006/main">
              <a:pPr>
                <a:defRPr sz="10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4003244578739282"/>
                  <c:h val="7.0929855868657271E-2"/>
                </c:manualLayout>
              </c15:layout>
            </c:ext>
          </c:extLst>
        </c:dLbl>
      </c:pivotFmt>
      <c:pivotFmt>
        <c:idx val="25"/>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0.14960268086412726"/>
              <c:y val="8.8421555410426067E-2"/>
            </c:manualLayout>
          </c:layout>
          <c:spPr>
            <a:noFill xmlns:a="http://schemas.openxmlformats.org/drawingml/2006/main"/>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noAutofit/>
            </a:bodyPr>
            <a:lstStyle xmlns:a="http://schemas.openxmlformats.org/drawingml/2006/main"/>
            <a:p xmlns:a="http://schemas.openxmlformats.org/drawingml/2006/main">
              <a:pPr>
                <a:defRPr sz="10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8415686957087238"/>
                  <c:h val="7.3906590759136845E-2"/>
                </c:manualLayout>
              </c15:layout>
            </c:ext>
          </c:extLst>
        </c:dLbl>
      </c:pivotFmt>
      <c:pivotFmt>
        <c:idx val="26"/>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6.0480807205760606E-3"/>
              <c:y val="-8.317757446486751E-2"/>
            </c:manualLayout>
          </c:layout>
          <c:spPr>
            <a:noFill xmlns:a="http://schemas.openxmlformats.org/drawingml/2006/main"/>
            <a:ln xmlns:a="http://schemas.openxmlformats.org/drawingml/2006/main">
              <a:solidFill>
                <a:schemeClr val="dk1">
                  <a:lumMod val="25000"/>
                  <a:lumOff val="75000"/>
                </a:schemeClr>
              </a:solid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noAutofit/>
            </a:bodyPr>
            <a:lstStyle xmlns:a="http://schemas.openxmlformats.org/drawingml/2006/main"/>
            <a:p xmlns:a="http://schemas.openxmlformats.org/drawingml/2006/main">
              <a:pPr>
                <a:defRPr sz="10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4010345461855322"/>
                  <c:h val="8.0989070490175438E-2"/>
                </c:manualLayout>
              </c15:layout>
            </c:ext>
          </c:extLst>
        </c:dLbl>
      </c:pivotFmt>
      <c:pivotFmt>
        <c:idx val="27"/>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1.4649084947518438E-2"/>
              <c:y val="7.3627776624355129E-2"/>
            </c:manualLayout>
          </c:layout>
          <c:spPr>
            <a:noFill xmlns:a="http://schemas.openxmlformats.org/drawingml/2006/main"/>
            <a:ln xmlns:a="http://schemas.openxmlformats.org/drawingml/2006/main">
              <a:solidFill>
                <a:schemeClr val="dk1">
                  <a:lumMod val="25000"/>
                  <a:lumOff val="75000"/>
                </a:schemeClr>
              </a:solid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noAutofit/>
            </a:bodyPr>
            <a:lstStyle xmlns:a="http://schemas.openxmlformats.org/drawingml/2006/main"/>
            <a:p xmlns:a="http://schemas.openxmlformats.org/drawingml/2006/main">
              <a:pPr>
                <a:defRPr sz="10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346748080909852"/>
                  <c:h val="8.7374156464953209E-2"/>
                </c:manualLayout>
              </c15:layout>
            </c:ext>
          </c:extLst>
        </c:dLbl>
      </c:pivotFmt>
    </c:pivotFmts>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0"/>
      <c:rotY val="0"/>
      <c:depthPercent val="60"/>
      <c:rAngAx val="0"/>
      <c:perspective val="100"/>
    </c:view3D>
    <c:plotArea>
      <c:layout>
        <c:manualLayout>
          <c:layoutTarget val="inner"/>
          <c:xMode val="edge"/>
          <c:yMode val="edge"/>
          <c:x val="0.4415"/>
          <c:y val="0.13225"/>
          <c:w val="0.49225"/>
          <c:h val="0.828"/>
        </c:manualLayout>
      </c:layout>
      <c:bar3DChart>
        <c:barDir val="bar"/>
        <c:grouping val="clustered"/>
        <c:varyColors val="0"/>
        <c:ser>
          <c:idx val="0"/>
          <c:order val="0"/>
          <c:spPr>
            <a:solidFill>
              <a:schemeClr val="accent2">
                <a:alpha val="85000"/>
              </a:schemeClr>
            </a:solidFill>
            <a:ln w="9525" cap="flat" cmpd="sng">
              <a:solidFill>
                <a:schemeClr val="accent2">
                  <a:lumMod val="75000"/>
                </a:schemeClr>
              </a:solidFill>
              <a:round/>
            </a:ln>
            <a:sp3d contourW="9525">
              <a:contourClr>
                <a:schemeClr val="accent2">
                  <a:lumMod val="75000"/>
                </a:schemeClr>
              </a:contourClr>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200" b="1" i="0" u="none" baseline="0">
                    <a:solidFill>
                      <a:srgbClr val="0070C0"/>
                    </a:solidFill>
                    <a:latin typeface="+mn-lt"/>
                    <a:ea typeface="Calibri"/>
                    <a:cs typeface="Calibri"/>
                  </a:defRPr>
                </a:pPr>
              </a:p>
            </c:txPr>
            <c:showLegendKey val="0"/>
            <c:showVal val="1"/>
            <c:showBubbleSize val="0"/>
            <c:showCatName val="0"/>
            <c:showSerName val="0"/>
            <c:showPercent val="0"/>
          </c:dLbls>
          <c:cat>
            <c:strRef>
              <c:f>'Dashboard $'!$A$7:$A$11</c:f>
              <c:strCache/>
            </c:strRef>
          </c:cat>
          <c:val>
            <c:numRef>
              <c:f>'Dashboard $'!$C$7:$C$11</c:f>
              <c:numCache/>
            </c:numRef>
          </c:val>
          <c:shape val="box"/>
        </c:ser>
        <c:gapWidth val="38"/>
        <c:gapDepth val="45"/>
        <c:shape val="box"/>
        <c:axId val="12557122"/>
        <c:axId val="45905235"/>
      </c:bar3DChart>
      <c:catAx>
        <c:axId val="12557122"/>
        <c:scaling>
          <c:orientation val="maxMin"/>
        </c:scaling>
        <c:axPos val="l"/>
        <c:delete val="0"/>
        <c:numFmt formatCode="General" sourceLinked="1"/>
        <c:majorTickMark val="none"/>
        <c:minorTickMark val="none"/>
        <c:tickLblPos val="nextTo"/>
        <c:spPr>
          <a:noFill/>
          <a:ln w="19050" cap="flat" cmpd="sng">
            <a:solidFill>
              <a:schemeClr val="tx1">
                <a:lumMod val="75000"/>
                <a:lumOff val="25000"/>
              </a:schemeClr>
            </a:solidFill>
            <a:round/>
          </a:ln>
        </c:spPr>
        <c:txPr>
          <a:bodyPr/>
          <a:lstStyle/>
          <a:p>
            <a:pPr>
              <a:defRPr lang="en-US" cap="all" sz="1400" b="1" i="0" u="none" baseline="0">
                <a:solidFill>
                  <a:schemeClr val="tx1">
                    <a:lumMod val="75000"/>
                    <a:lumOff val="25000"/>
                  </a:schemeClr>
                </a:solidFill>
                <a:latin typeface="+mn-lt"/>
                <a:ea typeface="+mn-cs"/>
                <a:cs typeface="+mn-cs"/>
              </a:defRPr>
            </a:pPr>
          </a:p>
        </c:txPr>
        <c:crossAx val="45905235"/>
        <c:crosses val="autoZero"/>
        <c:auto val="1"/>
        <c:lblOffset val="100"/>
        <c:noMultiLvlLbl val="0"/>
      </c:catAx>
      <c:valAx>
        <c:axId val="45905235"/>
        <c:scaling>
          <c:orientation val="minMax"/>
        </c:scaling>
        <c:axPos val="t"/>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all" sz="1400" b="1" i="0" u="none" baseline="0">
                <a:solidFill>
                  <a:schemeClr val="tx1">
                    <a:lumMod val="75000"/>
                    <a:lumOff val="25000"/>
                  </a:schemeClr>
                </a:solidFill>
                <a:latin typeface="+mn-lt"/>
                <a:ea typeface="+mn-cs"/>
                <a:cs typeface="+mn-cs"/>
              </a:defRPr>
            </a:pPr>
          </a:p>
        </c:txPr>
        <c:crossAx val="12557122"/>
        <c:crosses val="autoZero"/>
        <c:crossBetween val="between"/>
        <c:dispUnits/>
      </c:valAx>
      <c:spPr>
        <a:noFill/>
        <a:ln>
          <a:noFill/>
        </a:ln>
      </c:spPr>
    </c:plotArea>
    <c:floor>
      <c:spPr>
        <a:solidFill>
          <a:schemeClr val="bg1">
            <a:lumMod val="95000"/>
          </a:schemeClr>
        </a:solid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38100" cap="flat" cmpd="sng">
      <a:solidFill>
        <a:schemeClr val="tx1">
          <a:lumMod val="25000"/>
          <a:lumOff val="7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4400" b="1" i="0" u="none" baseline="0">
                <a:latin typeface="Calibri"/>
                <a:ea typeface="Calibri"/>
                <a:cs typeface="Calibri"/>
              </a:rPr>
              <a:t>Cypress Fairbanks - </a:t>
            </a:r>
            <a:r>
              <a:rPr lang="en-US" cap="none" sz="4400" b="1" i="0" u="none" baseline="0">
                <a:latin typeface="Calibri"/>
                <a:ea typeface="Calibri"/>
                <a:cs typeface="Calibri"/>
              </a:rPr>
              <a:t>Electricity  kWh per SF </a:t>
            </a:r>
          </a:p>
        </c:rich>
      </c:tx>
      <c:layout/>
      <c:overlay val="0"/>
      <c:spPr>
        <a:noFill/>
        <a:ln>
          <a:noFill/>
        </a:ln>
      </c:spPr>
    </c:title>
    <c:view3D>
      <c:rotX val="15"/>
      <c:rotY val="20"/>
      <c:depthPercent val="100"/>
      <c:rAngAx val="0"/>
      <c:perspective val="30"/>
    </c:view3D>
    <c:plotArea>
      <c:layout/>
      <c:bar3DChart>
        <c:barDir val="bar"/>
        <c:grouping val="clustered"/>
        <c:varyColors val="0"/>
        <c:ser>
          <c:idx val="0"/>
          <c:order val="0"/>
          <c:spPr>
            <a:solidFill>
              <a:schemeClr val="accent6">
                <a:alpha val="85000"/>
              </a:schemeClr>
            </a:solidFill>
            <a:ln w="9525" cap="flat" cmpd="sng">
              <a:solidFill>
                <a:schemeClr val="bg1">
                  <a:alpha val="50000"/>
                </a:schemeClr>
              </a:solidFill>
              <a:round/>
            </a:ln>
            <a:sp3d contourW="9525">
              <a:contourClr>
                <a:schemeClr val="bg1">
                  <a:alpha val="50000"/>
                </a:schemeClr>
              </a:contourClr>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600" b="1" i="0" u="none" baseline="0">
                    <a:solidFill>
                      <a:schemeClr val="bg1"/>
                    </a:solidFill>
                    <a:latin typeface="+mn-lt"/>
                    <a:ea typeface="Calibri"/>
                    <a:cs typeface="Calibri"/>
                  </a:defRPr>
                </a:pPr>
              </a:p>
            </c:txPr>
            <c:showLegendKey val="0"/>
            <c:showVal val="1"/>
            <c:showBubbleSize val="0"/>
            <c:showCatName val="0"/>
            <c:showSerName val="0"/>
            <c:showPercent val="0"/>
          </c:dLbls>
          <c:cat>
            <c:strRef>
              <c:f>Benchmark!$D$7:$D$11</c:f>
              <c:strCache/>
            </c:strRef>
          </c:cat>
          <c:val>
            <c:numRef>
              <c:f>Benchmark!$G$7:$G$11</c:f>
              <c:numCache/>
            </c:numRef>
          </c:val>
          <c:shape val="box"/>
        </c:ser>
        <c:gapWidth val="44"/>
        <c:shape val="box"/>
        <c:axId val="10493932"/>
        <c:axId val="27336525"/>
      </c:bar3DChart>
      <c:catAx>
        <c:axId val="10493932"/>
        <c:scaling>
          <c:orientation val="minMax"/>
        </c:scaling>
        <c:axPos val="l"/>
        <c:delete val="0"/>
        <c:numFmt formatCode="General" sourceLinked="1"/>
        <c:majorTickMark val="none"/>
        <c:minorTickMark val="none"/>
        <c:tickLblPos val="nextTo"/>
        <c:spPr>
          <a:noFill/>
          <a:ln w="19050" cap="flat" cmpd="sng">
            <a:solidFill>
              <a:schemeClr val="tx1">
                <a:lumMod val="75000"/>
                <a:lumOff val="25000"/>
              </a:schemeClr>
            </a:solidFill>
            <a:round/>
          </a:ln>
        </c:spPr>
        <c:txPr>
          <a:bodyPr/>
          <a:lstStyle/>
          <a:p>
            <a:pPr>
              <a:defRPr lang="en-US" cap="all" sz="2800" b="1" i="0" u="none" baseline="0">
                <a:solidFill>
                  <a:srgbClr val="002060"/>
                </a:solidFill>
                <a:latin typeface="+mn-lt"/>
                <a:ea typeface="+mn-cs"/>
                <a:cs typeface="+mn-cs"/>
              </a:defRPr>
            </a:pPr>
          </a:p>
        </c:txPr>
        <c:crossAx val="27336525"/>
        <c:crosses val="autoZero"/>
        <c:auto val="1"/>
        <c:lblOffset val="100"/>
        <c:noMultiLvlLbl val="0"/>
      </c:catAx>
      <c:valAx>
        <c:axId val="27336525"/>
        <c:scaling>
          <c:orientation val="minMax"/>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1"/>
        <c:majorTickMark val="none"/>
        <c:minorTickMark val="none"/>
        <c:tickLblPos val="nextTo"/>
        <c:crossAx val="10493932"/>
        <c:crosses val="autoZero"/>
        <c:crossBetween val="between"/>
        <c:dispUnits/>
      </c:valAx>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userShapes r:id="rId1"/>
  <c:lang xmlns:c="http://schemas.openxmlformats.org/drawingml/2006/chart" val="en-US"/>
  <c:printSettings xmlns:c="http://schemas.openxmlformats.org/drawingml/2006/chart">
    <c:headerFooter>
      <c:oddFooter>&amp;CPrepared by JAY BONHAM &amp;D</c:oddFooter>
    </c:headerFooter>
    <c:pageMargins b="0.75" l="0.7" r="0.7" t="0.75" header="0.3" footer="0.3"/>
    <c:pageSetup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4400" b="1" i="0" u="none" baseline="0">
                <a:latin typeface="Calibri"/>
                <a:ea typeface="Calibri"/>
                <a:cs typeface="Calibri"/>
              </a:rPr>
              <a:t>Cypress Fairbanks - </a:t>
            </a:r>
            <a:r>
              <a:rPr lang="en-US" cap="none" sz="4400" b="1" i="0" u="none" baseline="0">
                <a:latin typeface="Calibri"/>
                <a:ea typeface="Calibri"/>
                <a:cs typeface="Calibri"/>
              </a:rPr>
              <a:t>Electricity  kWh per SF </a:t>
            </a:r>
          </a:p>
        </c:rich>
      </c:tx>
      <c:layout/>
      <c:overlay val="0"/>
      <c:spPr>
        <a:noFill/>
        <a:ln>
          <a:noFill/>
        </a:ln>
      </c:spPr>
    </c:title>
    <c:view3D>
      <c:rotX val="15"/>
      <c:rotY val="20"/>
      <c:depthPercent val="100"/>
      <c:rAngAx val="0"/>
      <c:perspective val="30"/>
    </c:view3D>
    <c:plotArea>
      <c:layout/>
      <c:bar3DChart>
        <c:barDir val="bar"/>
        <c:grouping val="clustered"/>
        <c:varyColors val="0"/>
        <c:ser>
          <c:idx val="0"/>
          <c:order val="0"/>
          <c:spPr>
            <a:solidFill>
              <a:schemeClr val="accent6">
                <a:alpha val="85000"/>
              </a:schemeClr>
            </a:solidFill>
            <a:ln w="9525" cap="flat" cmpd="sng">
              <a:solidFill>
                <a:schemeClr val="bg1">
                  <a:alpha val="50000"/>
                </a:schemeClr>
              </a:solidFill>
              <a:round/>
            </a:ln>
            <a:sp3d contourW="9525">
              <a:contourClr>
                <a:schemeClr val="bg1">
                  <a:alpha val="50000"/>
                </a:schemeClr>
              </a:contourClr>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600" b="1" i="0" u="none" baseline="0">
                    <a:solidFill>
                      <a:schemeClr val="bg1"/>
                    </a:solidFill>
                    <a:latin typeface="+mn-lt"/>
                    <a:ea typeface="Calibri"/>
                    <a:cs typeface="Calibri"/>
                  </a:defRPr>
                </a:pPr>
              </a:p>
            </c:txPr>
            <c:showLegendKey val="0"/>
            <c:showVal val="1"/>
            <c:showBubbleSize val="0"/>
            <c:showCatName val="0"/>
            <c:showSerName val="0"/>
            <c:showPercent val="0"/>
          </c:dLbls>
          <c:cat>
            <c:strRef>
              <c:f>'%'!$D$7:$D$11</c:f>
              <c:strCache/>
            </c:strRef>
          </c:cat>
          <c:val>
            <c:numRef>
              <c:f>'%'!$G$7:$G$11</c:f>
              <c:numCache/>
            </c:numRef>
          </c:val>
          <c:shape val="box"/>
        </c:ser>
        <c:gapWidth val="44"/>
        <c:shape val="box"/>
        <c:axId val="44702134"/>
        <c:axId val="66774887"/>
      </c:bar3DChart>
      <c:catAx>
        <c:axId val="44702134"/>
        <c:scaling>
          <c:orientation val="minMax"/>
        </c:scaling>
        <c:axPos val="l"/>
        <c:delete val="0"/>
        <c:numFmt formatCode="General" sourceLinked="1"/>
        <c:majorTickMark val="none"/>
        <c:minorTickMark val="none"/>
        <c:tickLblPos val="nextTo"/>
        <c:spPr>
          <a:noFill/>
          <a:ln w="19050" cap="flat" cmpd="sng">
            <a:solidFill>
              <a:schemeClr val="tx1">
                <a:lumMod val="75000"/>
                <a:lumOff val="25000"/>
              </a:schemeClr>
            </a:solidFill>
            <a:round/>
          </a:ln>
        </c:spPr>
        <c:txPr>
          <a:bodyPr/>
          <a:lstStyle/>
          <a:p>
            <a:pPr>
              <a:defRPr lang="en-US" cap="all" sz="2800" b="1" i="0" u="none" baseline="0">
                <a:solidFill>
                  <a:srgbClr val="002060"/>
                </a:solidFill>
                <a:latin typeface="+mn-lt"/>
                <a:ea typeface="+mn-cs"/>
                <a:cs typeface="+mn-cs"/>
              </a:defRPr>
            </a:pPr>
          </a:p>
        </c:txPr>
        <c:crossAx val="66774887"/>
        <c:crosses val="autoZero"/>
        <c:auto val="1"/>
        <c:lblOffset val="100"/>
        <c:noMultiLvlLbl val="0"/>
      </c:catAx>
      <c:valAx>
        <c:axId val="66774887"/>
        <c:scaling>
          <c:orientation val="minMax"/>
        </c:scaling>
        <c:axPos val="b"/>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1"/>
        <c:majorTickMark val="none"/>
        <c:minorTickMark val="none"/>
        <c:tickLblPos val="nextTo"/>
        <c:crossAx val="44702134"/>
        <c:crosses val="autoZero"/>
        <c:crossBetween val="between"/>
        <c:dispUnits/>
      </c:valAx>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userShapes r:id="rId1"/>
  <c:lang xmlns:c="http://schemas.openxmlformats.org/drawingml/2006/chart" val="en-US"/>
  <c:printSettings xmlns:c="http://schemas.openxmlformats.org/drawingml/2006/chart">
    <c:headerFooter>
      <c:oddFooter>&amp;CPrepared by JAY BONHAM &amp;D</c:oddFooter>
    </c:headerFooter>
    <c:pageMargins b="0.75" l="0.7" r="0.7" t="0.75" header="0.3" footer="0.3"/>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xdr:row>
      <xdr:rowOff>0</xdr:rowOff>
    </xdr:from>
    <xdr:to>
      <xdr:col>5</xdr:col>
      <xdr:colOff>466725</xdr:colOff>
      <xdr:row>3</xdr:row>
      <xdr:rowOff>38100</xdr:rowOff>
    </xdr:to>
    <xdr:sp macro="[0]!Reset3" textlink="">
      <xdr:nvSpPr>
        <xdr:cNvPr id="2" name="Rectangle 1"/>
        <xdr:cNvSpPr/>
      </xdr:nvSpPr>
      <xdr:spPr>
        <a:xfrm>
          <a:off x="5676900" y="476250"/>
          <a:ext cx="1971675" cy="2762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n-US" sz="1800"/>
            <a:t>Refresh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0</xdr:row>
      <xdr:rowOff>142875</xdr:rowOff>
    </xdr:from>
    <xdr:ext cx="1924050" cy="3143250"/>
    <mc:AlternateContent xmlns:mc="http://schemas.openxmlformats.org/markup-compatibility/2006" xmlns:sle15="http://schemas.microsoft.com/office/drawing/2012/slicer">
      <mc:Choice Requires="sle15">
        <xdr:graphicFrame>
          <xdr:nvGraphicFramePr>
            <xdr:cNvPr id="2" name="School Type"/>
            <xdr:cNvGraphicFramePr/>
          </xdr:nvGraphicFramePr>
          <xdr:xfrm>
            <a:off x="8534400" y="142875"/>
            <a:ext cx="1924050" cy="3143250"/>
          </xdr:xfrm>
          <a:graphic>
            <a:graphicData uri="http://schemas.microsoft.com/office/drawing/2010/slicer">
              <sle:slicer xmlns:sle="http://schemas.microsoft.com/office/drawing/2010/slicer" name="School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790575</xdr:colOff>
      <xdr:row>1</xdr:row>
      <xdr:rowOff>9525</xdr:rowOff>
    </xdr:from>
    <xdr:ext cx="1943100" cy="2371725"/>
    <mc:AlternateContent xmlns:mc="http://schemas.openxmlformats.org/markup-compatibility/2006" xmlns:sle15="http://schemas.microsoft.com/office/drawing/2012/slicer">
      <mc:Choice Requires="sle15">
        <xdr:graphicFrame>
          <xdr:nvGraphicFramePr>
            <xdr:cNvPr id="3" name="Utility"/>
            <xdr:cNvGraphicFramePr/>
          </xdr:nvGraphicFramePr>
          <xdr:xfrm>
            <a:off x="10629900" y="247650"/>
            <a:ext cx="1943100" cy="2371725"/>
          </xdr:xfrm>
          <a:graphic>
            <a:graphicData uri="http://schemas.microsoft.com/office/drawing/2010/slicer">
              <sle:slicer xmlns:sle="http://schemas.microsoft.com/office/drawing/2010/slicer" name="Utilit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0.06425</cdr:y>
    </cdr:from>
    <cdr:to>
      <cdr:x>0.973</cdr:x>
      <cdr:y>0.24575</cdr:y>
    </cdr:to>
    <cdr:sp macro="" textlink="">
      <cdr:nvSpPr>
        <cdr:cNvPr id="2" name="TextBox 1"/>
        <cdr:cNvSpPr txBox="1"/>
      </cdr:nvSpPr>
      <cdr:spPr>
        <a:xfrm>
          <a:off x="9525" y="371475"/>
          <a:ext cx="4143375" cy="1076325"/>
        </a:xfrm>
        <a:prstGeom prst="rect">
          <a:avLst/>
        </a:prstGeom>
        <a:ln>
          <a:noFill/>
        </a:ln>
      </cdr:spPr>
      <cdr:txBody>
        <a:bodyPr vertOverflow="clip" wrap="square" rtlCol="0"/>
        <a:lstStyle/>
        <a:p>
          <a:pPr algn="ctr"/>
          <a:r>
            <a:rPr lang="en-US" sz="2400" b="1" cap="none" spc="0" baseline="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Arial Black" panose="020B0A04020102020204" pitchFamily="34" charset="0"/>
            </a:rPr>
            <a:t>TOTAL CFISD UTILITY COSTS</a:t>
          </a:r>
          <a:endParaRPr lang="en-US" sz="2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Arial Black" panose="020B0A04020102020204" pitchFamily="34" charset="0"/>
          </a:endParaRPr>
        </a:p>
      </cdr:txBody>
    </cdr:sp>
  </cdr:relSizeAnchor>
  <cdr:relSizeAnchor xmlns:cdr="http://schemas.openxmlformats.org/drawingml/2006/chartDrawing">
    <cdr:from>
      <cdr:x>0.1825</cdr:x>
      <cdr:y>0.80175</cdr:y>
    </cdr:from>
    <cdr:to>
      <cdr:x>0.91425</cdr:x>
      <cdr:y>0.96725</cdr:y>
    </cdr:to>
    <cdr:sp macro="" textlink="'Dashboard $'!$AN$23">
      <cdr:nvSpPr>
        <cdr:cNvPr id="3" name="TextBox 2"/>
        <cdr:cNvSpPr txBox="1"/>
      </cdr:nvSpPr>
      <cdr:spPr>
        <a:xfrm>
          <a:off x="771525" y="4733925"/>
          <a:ext cx="3133725" cy="981075"/>
        </a:xfrm>
        <a:prstGeom prst="rect">
          <a:avLst/>
        </a:prstGeom>
        <a:ln>
          <a:noFill/>
        </a:ln>
      </cdr:spPr>
      <cdr:txBody>
        <a:bodyPr vertOverflow="clip" wrap="square" rtlCol="0"/>
        <a:lstStyle/>
        <a:p>
          <a:fld id="{291B4AAE-553C-424B-B27F-2F0AF65813A5}" type="TxLink">
            <a:rPr lang="en-US" sz="4000" b="1" i="0" u="none" strike="noStrike"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Calibri"/>
              <a:cs typeface="Calibri"/>
            </a:rPr>
            <a:pPr/>
            <a:t>$17,856,592</a:t>
          </a:fld>
          <a:endParaRPr lang="en-US" sz="40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0.02575</cdr:y>
    </cdr:from>
    <cdr:to>
      <cdr:x>0.325</cdr:x>
      <cdr:y>0.14075</cdr:y>
    </cdr:to>
    <cdr:sp macro="" textlink="">
      <cdr:nvSpPr>
        <cdr:cNvPr id="2" name="TextBox 1"/>
        <cdr:cNvSpPr txBox="1"/>
      </cdr:nvSpPr>
      <cdr:spPr>
        <a:xfrm>
          <a:off x="76200" y="95250"/>
          <a:ext cx="1495425" cy="447675"/>
        </a:xfrm>
        <a:prstGeom prst="rect">
          <a:avLst/>
        </a:prstGeom>
        <a:ln>
          <a:noFill/>
        </a:ln>
      </cdr:spPr>
      <cdr:txBody>
        <a:bodyPr vertOverflow="clip" wrap="square" rtlCol="0"/>
        <a:lstStyle/>
        <a:p>
          <a:r>
            <a:rPr lang="en-US" sz="1100"/>
            <a:t>=</a:t>
          </a:r>
        </a:p>
      </cdr:txBody>
    </cdr:sp>
  </cdr:relSizeAnchor>
  <cdr:relSizeAnchor xmlns:cdr="http://schemas.openxmlformats.org/drawingml/2006/chartDrawing">
    <cdr:from>
      <cdr:x>0.55875</cdr:x>
      <cdr:y>0.893</cdr:y>
    </cdr:from>
    <cdr:to>
      <cdr:x>1</cdr:x>
      <cdr:y>1</cdr:y>
    </cdr:to>
    <cdr:sp macro="" textlink="'Dashboard $'!$B$12">
      <cdr:nvSpPr>
        <cdr:cNvPr id="3" name="TextBox 2"/>
        <cdr:cNvSpPr txBox="1"/>
      </cdr:nvSpPr>
      <cdr:spPr>
        <a:xfrm>
          <a:off x="2705100" y="3448050"/>
          <a:ext cx="2143125" cy="409575"/>
        </a:xfrm>
        <a:prstGeom prst="rect">
          <a:avLst/>
        </a:prstGeom>
        <a:ln>
          <a:noFill/>
        </a:ln>
      </cdr:spPr>
      <cdr:txBody>
        <a:bodyPr vertOverflow="clip" wrap="square" rtlCol="0"/>
        <a:lstStyle/>
        <a:p>
          <a:pPr marL="0" indent="0" algn="r"/>
          <a:fld id="{7FF2B5A9-BA7C-4BA7-8F6D-81F00ABF13CE}" type="TxLink">
            <a:rPr lang="en-US" sz="1600" b="1" i="0" u="none" strike="noStrike"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latin typeface="Calibri"/>
              <a:ea typeface="+mn-ea"/>
              <a:cs typeface="Calibri"/>
            </a:rPr>
            <a:pPr marL="0" indent="0" algn="r"/>
            <a:t>$17,856,592</a:t>
          </a:fld>
          <a:endParaRPr lang="en-US" sz="1600" b="1" i="0" u="none" strike="noStrike"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latin typeface="Calibri"/>
            <a:ea typeface="+mn-ea"/>
            <a:cs typeface="Calibri"/>
          </a:endParaRPr>
        </a:p>
      </cdr:txBody>
    </cdr:sp>
  </cdr:relSizeAnchor>
  <cdr:relSizeAnchor xmlns:cdr="http://schemas.openxmlformats.org/drawingml/2006/chartDrawing">
    <cdr:from>
      <cdr:x>0.6625</cdr:x>
      <cdr:y>0.77425</cdr:y>
    </cdr:from>
    <cdr:to>
      <cdr:x>1</cdr:x>
      <cdr:y>0.88125</cdr:y>
    </cdr:to>
    <cdr:sp macro="" textlink="'Dashboard $'!$AS$7">
      <cdr:nvSpPr>
        <cdr:cNvPr id="4" name="TextBox 3"/>
        <cdr:cNvSpPr txBox="1"/>
      </cdr:nvSpPr>
      <cdr:spPr>
        <a:xfrm>
          <a:off x="3209925" y="2990850"/>
          <a:ext cx="1638300" cy="409575"/>
        </a:xfrm>
        <a:prstGeom prst="rect">
          <a:avLst/>
        </a:prstGeom>
        <a:ln>
          <a:noFill/>
        </a:ln>
      </cdr:spPr>
      <cdr:txBody>
        <a:bodyPr vertOverflow="clip" wrap="square" rtlCol="0"/>
        <a:lstStyle/>
        <a:p>
          <a:pPr algn="r"/>
          <a:fld id="{080D7597-CEB2-4162-B027-887E355F4777}" type="TxLink">
            <a:rPr lang="en-US" sz="2000" b="1" i="0" u="none" strike="noStrike"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Calibri"/>
              <a:cs typeface="Calibri"/>
            </a:rPr>
            <a:pPr algn="r"/>
            <a:t>(All)</a:t>
          </a:fld>
          <a:endParaRPr lang="en-US" sz="2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847725</xdr:colOff>
      <xdr:row>4</xdr:row>
      <xdr:rowOff>161925</xdr:rowOff>
    </xdr:from>
    <xdr:ext cx="1924050" cy="2228850"/>
    <mc:AlternateContent xmlns:mc="http://schemas.openxmlformats.org/markup-compatibility/2006" xmlns:sle15="http://schemas.microsoft.com/office/drawing/2012/slicer">
      <mc:Choice Requires="sle15">
        <xdr:graphicFrame>
          <xdr:nvGraphicFramePr>
            <xdr:cNvPr id="3" name="Utility 1"/>
            <xdr:cNvGraphicFramePr/>
          </xdr:nvGraphicFramePr>
          <xdr:xfrm>
            <a:off x="10096500" y="1628775"/>
            <a:ext cx="1924050" cy="2228850"/>
          </xdr:xfrm>
          <a:graphic>
            <a:graphicData uri="http://schemas.microsoft.com/office/drawing/2010/slicer">
              <sle:slicer xmlns:sle="http://schemas.microsoft.com/office/drawing/2010/slicer" name="Utility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12</xdr:col>
      <xdr:colOff>590550</xdr:colOff>
      <xdr:row>6</xdr:row>
      <xdr:rowOff>0</xdr:rowOff>
    </xdr:from>
    <xdr:to>
      <xdr:col>16</xdr:col>
      <xdr:colOff>628650</xdr:colOff>
      <xdr:row>23</xdr:row>
      <xdr:rowOff>238125</xdr:rowOff>
    </xdr:to>
    <xdr:graphicFrame macro="">
      <xdr:nvGraphicFramePr>
        <xdr:cNvPr id="6" name="Chart 5"/>
        <xdr:cNvGraphicFramePr/>
      </xdr:nvGraphicFramePr>
      <xdr:xfrm>
        <a:off x="15697200" y="1971675"/>
        <a:ext cx="4276725" cy="5915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xdr:row>
      <xdr:rowOff>104775</xdr:rowOff>
    </xdr:from>
    <xdr:to>
      <xdr:col>3</xdr:col>
      <xdr:colOff>209550</xdr:colOff>
      <xdr:row>23</xdr:row>
      <xdr:rowOff>228600</xdr:rowOff>
    </xdr:to>
    <xdr:graphicFrame macro="">
      <xdr:nvGraphicFramePr>
        <xdr:cNvPr id="2" name="Chart 1"/>
        <xdr:cNvGraphicFramePr/>
      </xdr:nvGraphicFramePr>
      <xdr:xfrm>
        <a:off x="0" y="4010025"/>
        <a:ext cx="4857750" cy="3867150"/>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276225</xdr:colOff>
      <xdr:row>19</xdr:row>
      <xdr:rowOff>28575</xdr:rowOff>
    </xdr:from>
    <xdr:to>
      <xdr:col>5</xdr:col>
      <xdr:colOff>400050</xdr:colOff>
      <xdr:row>23</xdr:row>
      <xdr:rowOff>180975</xdr:rowOff>
    </xdr:to>
    <xdr:pic>
      <xdr:nvPicPr>
        <xdr:cNvPr id="4" name="Picture 3"/>
        <xdr:cNvPicPr preferRelativeResize="1">
          <a:picLocks noChangeAspect="1"/>
        </xdr:cNvPicPr>
      </xdr:nvPicPr>
      <xdr:blipFill>
        <a:blip r:embed="rId3"/>
        <a:stretch>
          <a:fillRect/>
        </a:stretch>
      </xdr:blipFill>
      <xdr:spPr>
        <a:xfrm>
          <a:off x="6305550" y="6286500"/>
          <a:ext cx="1362075" cy="1543050"/>
        </a:xfrm>
        <a:prstGeom prst="roundRect">
          <a:avLst>
            <a:gd name="adj" fmla="val 8594"/>
          </a:avLst>
        </a:prstGeom>
        <a:solidFill>
          <a:srgbClr val="EDEDED"/>
        </a:solidFill>
        <a:ln>
          <a:noFill/>
        </a:ln>
        <a:effectLst>
          <a:reflection blurRad="12700" stA="38000" endPos="28000" dist="5000" dir="5400000" sy="-100000" algn="bl" rotWithShape="0"/>
        </a:effectLst>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0.0535</cdr:y>
    </cdr:from>
    <cdr:to>
      <cdr:x>0.1755</cdr:x>
      <cdr:y>0.183</cdr:y>
    </cdr:to>
    <cdr:sp macro="" textlink="">
      <cdr:nvSpPr>
        <cdr:cNvPr id="2" name="TextBox 1"/>
        <cdr:cNvSpPr txBox="1"/>
      </cdr:nvSpPr>
      <cdr:spPr>
        <a:xfrm>
          <a:off x="0" y="0"/>
          <a:ext cx="0" cy="0"/>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0.01675</cdr:x>
      <cdr:y>0.0305</cdr:y>
    </cdr:from>
    <cdr:to>
      <cdr:x>0.15375</cdr:x>
      <cdr:y>0.145</cdr:y>
    </cdr:to>
    <cdr:sp macro="" textlink="">
      <cdr:nvSpPr>
        <cdr:cNvPr id="3" name="TextBox 2"/>
        <cdr:cNvSpPr txBox="1"/>
      </cdr:nvSpPr>
      <cdr:spPr>
        <a:xfrm>
          <a:off x="0" y="0"/>
          <a:ext cx="0" cy="0"/>
        </a:xfrm>
        <a:prstGeom prst="rect">
          <a:avLst/>
        </a:prstGeom>
        <a:ln>
          <a:noFill/>
        </a:ln>
      </cdr:spPr>
      <cdr:txBody>
        <a:bodyPr vertOverflow="clip" wrap="square" rtlCol="0"/>
        <a:lstStyle/>
        <a:p>
          <a:endParaRPr lang="en-US" sz="1100"/>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macro="[0]!Refresh" textlink="">
      <xdr:nvSpPr>
        <xdr:cNvPr id="5" name="Rectangle 4"/>
        <xdr:cNvSpPr/>
      </xdr:nvSpPr>
      <xdr:spPr>
        <a:xfrm>
          <a:off x="0" y="0"/>
          <a:ext cx="0" cy="0"/>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n-US" sz="1800"/>
            <a:t>Refresh</a:t>
          </a:r>
        </a:p>
      </xdr:txBody>
    </xdr:sp>
    <xdr:clientData/>
  </xdr:twoCellAnchor>
  <xdr:oneCellAnchor>
    <xdr:from>
      <xdr:col>6</xdr:col>
      <xdr:colOff>752475</xdr:colOff>
      <xdr:row>14</xdr:row>
      <xdr:rowOff>19050</xdr:rowOff>
    </xdr:from>
    <xdr:ext cx="1866900" cy="2181225"/>
    <mc:AlternateContent xmlns:mc="http://schemas.openxmlformats.org/markup-compatibility/2006" xmlns:sle15="http://schemas.microsoft.com/office/drawing/2012/slicer">
      <mc:Choice Requires="sle15">
        <xdr:graphicFrame>
          <xdr:nvGraphicFramePr>
            <xdr:cNvPr id="2" name="Utility 2"/>
            <xdr:cNvGraphicFramePr/>
          </xdr:nvGraphicFramePr>
          <xdr:xfrm>
            <a:off x="7858125" y="3352800"/>
            <a:ext cx="1866900" cy="2181225"/>
          </xdr:xfrm>
          <a:graphic>
            <a:graphicData uri="http://schemas.microsoft.com/office/drawing/2010/slicer">
              <sle:slicer xmlns:sle="http://schemas.microsoft.com/office/drawing/2010/slicer" name="Utility 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361950</xdr:colOff>
      <xdr:row>13</xdr:row>
      <xdr:rowOff>238125</xdr:rowOff>
    </xdr:from>
    <xdr:ext cx="1857375" cy="3124200"/>
    <mc:AlternateContent xmlns:mc="http://schemas.openxmlformats.org/markup-compatibility/2006" xmlns:sle15="http://schemas.microsoft.com/office/drawing/2012/slicer">
      <mc:Choice Requires="sle15">
        <xdr:graphicFrame>
          <xdr:nvGraphicFramePr>
            <xdr:cNvPr id="4" name="School Type 1"/>
            <xdr:cNvGraphicFramePr/>
          </xdr:nvGraphicFramePr>
          <xdr:xfrm>
            <a:off x="361950" y="3333750"/>
            <a:ext cx="1857375" cy="3124200"/>
          </xdr:xfrm>
          <a:graphic>
            <a:graphicData uri="http://schemas.microsoft.com/office/drawing/2010/slicer">
              <sle:slicer xmlns:sle="http://schemas.microsoft.com/office/drawing/2010/slicer" name="School Type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0.0535</cdr:y>
    </cdr:from>
    <cdr:to>
      <cdr:x>0.1755</cdr:x>
      <cdr:y>0.183</cdr:y>
    </cdr:to>
    <cdr:sp macro="" textlink="">
      <cdr:nvSpPr>
        <cdr:cNvPr id="2" name="TextBox 1"/>
        <cdr:cNvSpPr txBox="1"/>
      </cdr:nvSpPr>
      <cdr:spPr>
        <a:xfrm>
          <a:off x="0" y="0"/>
          <a:ext cx="0" cy="0"/>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0.01675</cdr:x>
      <cdr:y>0.0305</cdr:y>
    </cdr:from>
    <cdr:to>
      <cdr:x>0.15375</cdr:x>
      <cdr:y>0.145</cdr:y>
    </cdr:to>
    <cdr:sp macro="" textlink="">
      <cdr:nvSpPr>
        <cdr:cNvPr id="3" name="TextBox 2"/>
        <cdr:cNvSpPr txBox="1"/>
      </cdr:nvSpPr>
      <cdr:spPr>
        <a:xfrm>
          <a:off x="0" y="0"/>
          <a:ext cx="0" cy="0"/>
        </a:xfrm>
        <a:prstGeom prst="rect">
          <a:avLst/>
        </a:prstGeom>
        <a:ln>
          <a:noFill/>
        </a:ln>
      </cdr:spPr>
      <cdr:txBody>
        <a:bodyPr vertOverflow="clip" wrap="square" rtlCol="0"/>
        <a:lstStyle/>
        <a:p>
          <a:endParaRPr lang="en-US" sz="1100"/>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macro="[0]!Refresh" textlink="">
      <xdr:nvSpPr>
        <xdr:cNvPr id="3" name="Rectangle 2"/>
        <xdr:cNvSpPr/>
      </xdr:nvSpPr>
      <xdr:spPr>
        <a:xfrm>
          <a:off x="0" y="0"/>
          <a:ext cx="0" cy="0"/>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n-US" sz="1800"/>
            <a:t>Refresh</a:t>
          </a:r>
        </a:p>
      </xdr:txBody>
    </xdr:sp>
    <xdr:clientData/>
  </xdr:twoCellAnchor>
  <xdr:oneCellAnchor>
    <xdr:from>
      <xdr:col>6</xdr:col>
      <xdr:colOff>752475</xdr:colOff>
      <xdr:row>14</xdr:row>
      <xdr:rowOff>19050</xdr:rowOff>
    </xdr:from>
    <xdr:ext cx="1866900" cy="2181225"/>
    <mc:AlternateContent xmlns:mc="http://schemas.openxmlformats.org/markup-compatibility/2006" xmlns:sle15="http://schemas.microsoft.com/office/drawing/2012/slicer">
      <mc:Choice Requires="sle15">
        <xdr:graphicFrame>
          <xdr:nvGraphicFramePr>
            <xdr:cNvPr id="4" name="Utility 3"/>
            <xdr:cNvGraphicFramePr/>
          </xdr:nvGraphicFramePr>
          <xdr:xfrm>
            <a:off x="7448550" y="3352800"/>
            <a:ext cx="1866900" cy="2181225"/>
          </xdr:xfrm>
          <a:graphic>
            <a:graphicData uri="http://schemas.microsoft.com/office/drawing/2010/slicer">
              <sle:slicer xmlns:sle="http://schemas.microsoft.com/office/drawing/2010/slicer" name="Utility 3"/>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361950</xdr:colOff>
      <xdr:row>13</xdr:row>
      <xdr:rowOff>238125</xdr:rowOff>
    </xdr:from>
    <xdr:ext cx="1857375" cy="3124200"/>
    <mc:AlternateContent xmlns:mc="http://schemas.openxmlformats.org/markup-compatibility/2006" xmlns:sle15="http://schemas.microsoft.com/office/drawing/2012/slicer">
      <mc:Choice Requires="sle15">
        <xdr:graphicFrame>
          <xdr:nvGraphicFramePr>
            <xdr:cNvPr id="5" name="School Type 2"/>
            <xdr:cNvGraphicFramePr/>
          </xdr:nvGraphicFramePr>
          <xdr:xfrm>
            <a:off x="361950" y="3333750"/>
            <a:ext cx="1857375" cy="3124200"/>
          </xdr:xfrm>
          <a:graphic>
            <a:graphicData uri="http://schemas.microsoft.com/office/drawing/2010/slicer">
              <sle:slicer xmlns:sle="http://schemas.microsoft.com/office/drawing/2010/slicer" name="School Type 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6" recordCount="823" refreshedBy="JAY BONHAM" refreshedVersion="6">
  <cacheSource type="worksheet">
    <worksheetSource ref="A1:O414" sheet="DataYY03"/>
  </cacheSource>
  <cacheFields count="15">
    <cacheField name="School Type">
      <sharedItems containsBlank="1" containsMixedTypes="0" count="6">
        <s v="Elementary Schools"/>
        <s v="Special Schools"/>
        <s v="Middle Schools"/>
        <s v="Administration"/>
        <s v="High Schools"/>
        <m/>
      </sharedItems>
    </cacheField>
    <cacheField name="Utility">
      <sharedItems containsBlank="1" containsMixedTypes="0" count="0"/>
    </cacheField>
    <cacheField name="Place">
      <sharedItems containsBlank="1" containsMixedTypes="0" count="129">
        <s v="ADAM-ES"/>
        <s v="ALCABC"/>
        <s v="ALCWEST"/>
        <s v="ANDREES"/>
        <s v="ANTHONYMS"/>
        <s v="ARAGONMS"/>
        <s v="ARNOLDMS"/>
        <s v="AULTES"/>
        <s v="BANEES"/>
        <s v="BANGES"/>
        <s v="BARKERTRANS"/>
        <s v="BERRYCENTER"/>
        <s v="BIRKESES"/>
        <s v="BLACKES"/>
        <s v="BLEYLMS"/>
        <s v="BRADLEYPOLICESTATION"/>
        <s v="BRIDGELANDHS"/>
        <s v="CAMPBELLMS"/>
        <s v="CFISDNATATORIUM"/>
        <s v="COOKMS"/>
        <s v="COPELANDES"/>
        <s v="CY-CREEKHS"/>
        <s v="CY-FAIRCOMPLEXRETENTIONPOND"/>
        <s v="CY-FAIRHS"/>
        <s v="CY-FAIRHS-BALLFIELD"/>
        <s v="CY-FALLSHS"/>
        <s v="CY-LAKESHS"/>
        <s v="CY-PARKHS"/>
        <s v="CY-RANCHHS"/>
        <s v="CY-RIDGEHS"/>
        <s v="CY-SPRINGSHS"/>
        <s v="CY-WOODSHS"/>
        <s v="DANISHES"/>
        <s v="DEANMS"/>
        <s v="DURYEAES"/>
        <s v="ELC1"/>
        <s v="ELC2"/>
        <s v="ELDRIDGETRANS"/>
        <s v="EMERYES"/>
        <s v="EMMOTTES"/>
        <s v="EXHIBITCENTERSCIENCERESOURCEC"/>
        <s v="EXHIBITCENTERTELGEAG"/>
        <s v="FALCONCOMPLEX"/>
        <s v="FARNEYES"/>
        <s v="FIESTES"/>
        <s v="FOODPRODUCTIONCENTER"/>
        <s v="FOODSERVICEWAREHOUSE"/>
        <s v="FRANCONEES"/>
        <s v="FRAZIERES"/>
        <s v="GLEASONES"/>
        <s v="GOODSONMS"/>
        <s v="HAIRGROVEES"/>
        <s v="HAMILTONES"/>
        <s v="HAMILTONMS"/>
        <s v="HANCOCKES"/>
        <s v="HEMMENWAYES"/>
        <s v="HOLBROOKES"/>
        <s v="HOLMSLEYES"/>
        <s v="HOOVERES"/>
        <s v="HOPPERMS"/>
        <s v="HORNEES"/>
        <s v="ISCA"/>
        <s v="ISCB"/>
        <s v="ISCC"/>
        <s v="ISCC-EXLIGHT"/>
        <s v="ISCD"/>
        <s v="ISCDATACENTER"/>
        <s v="ISCSW"/>
        <s v="ISCW"/>
        <s v="JARVISCENTRALPLANT"/>
        <s v="JERSEYVILLAGEHS"/>
        <s v="JERSEYVILLAGESTADIUM"/>
        <s v="JOWELLES"/>
        <s v="KAHLAMS"/>
        <s v="KEITHES"/>
        <s v="KIRKES"/>
        <s v="LABAYMS"/>
        <s v="LAMKINES"/>
        <s v="LANGHAMCREEKHS"/>
        <s v="LANGHAMCREEKRETENTIONPOND"/>
        <s v="LEEES"/>
        <s v="LIEDERES"/>
        <s v="LOWERYES"/>
        <s v="MAINTENANCEOPER"/>
        <s v="MATZKEES"/>
        <s v="MATZKEMILLSES"/>
        <s v="MCFEEES"/>
        <s v="METCALFES"/>
        <s v="MILLSAPES"/>
        <s v="MILLSAPNATURETRAIL"/>
        <s v="MILLSAPROPES"/>
        <s v="MOOREES"/>
        <s v="OWENSES"/>
        <s v="POPEES"/>
        <s v="POSTES"/>
        <s v="POSTMAES"/>
        <s v="PRIDGEONSTADIUM"/>
        <s v="RECYCLECENTER"/>
        <s v="REEDES"/>
        <s v="RENNELLES"/>
        <s v="ROBINSONES"/>
        <s v="ROBISONES"/>
        <s v="SALYARDSMS"/>
        <s v="SAMPSONES"/>
        <s v="SATELLITECOLDFOODWAREHOUSE"/>
        <s v="SHERIDANES"/>
        <s v="SMITHMS"/>
        <s v="SPILLANEMS"/>
        <s v="SWENKEES"/>
        <s v="TELGETRANS"/>
        <s v="THORNTONMS"/>
        <s v="TIPPSES"/>
        <s v="TRUITTMS"/>
        <s v="WALKERES"/>
        <s v="WARNERES"/>
        <s v="WATKINSMS"/>
        <s v="WELLSES"/>
        <s v="WESTGREENAGSCIENCECENTER"/>
        <s v="WESTGREENTRANS"/>
        <s v="WILLBERNES"/>
        <s v="WILSONES"/>
        <s v="WINDFERNANNEX"/>
        <s v="WINDFERNHS"/>
        <s v="WOODARDES"/>
        <s v="YEAGERES"/>
        <s v="CY-FAIRCOMPLEX"/>
        <s v="CY-FALLSAGVOC"/>
        <s v="CY-WOODSCARLTONCENTERKITCHEN"/>
        <m/>
      </sharedItems>
    </cacheField>
    <cacheField name="Location">
      <sharedItems containsBlank="1" containsMixedTypes="0" count="4">
        <s v="Houston, TX"/>
        <s v="Katy, TX"/>
        <s v="Cypress, TX"/>
        <m/>
      </sharedItems>
    </cacheField>
    <cacheField name="Area">
      <sharedItems containsBlank="1" containsMixedTypes="1" containsNumber="1" containsInteger="1" count="0"/>
    </cacheField>
    <cacheField name="Eff. Date">
      <sharedItems containsBlank="1" containsMixedTypes="1" containsNumber="1" containsInteger="1" count="0"/>
    </cacheField>
    <cacheField name="Base Year ">
      <sharedItems containsBlank="1" containsMixedTypes="1" containsNumber="1" containsInteger="1" count="0"/>
    </cacheField>
    <cacheField name="Mmbtus">
      <sharedItems containsBlank="1" containsMixedTypes="1" containsNumber="1" containsInteger="1" count="0"/>
    </cacheField>
    <cacheField name="Var [%]">
      <sharedItems containsBlank="1" containsMixedTypes="1" containsNumber="1" containsInteger="1" count="0"/>
    </cacheField>
    <cacheField name="Base Year 2">
      <sharedItems containsBlank="1" containsMixedTypes="1" containsNumber="1" containsInteger="1" count="0"/>
    </cacheField>
    <cacheField name="Cost">
      <sharedItems containsMixedTypes="1" containsNumber="1" containsInteger="1" count="0"/>
    </cacheField>
    <cacheField name="Var [%]3">
      <sharedItems containsBlank="1" containsMixedTypes="1" containsNumber="1" containsInteger="1" count="0"/>
    </cacheField>
    <cacheField name="Base Year 4">
      <sharedItems containsBlank="1" containsMixedTypes="1" containsNumber="1" containsInteger="1" count="0"/>
    </cacheField>
    <cacheField name="Current Year5">
      <sharedItems containsBlank="1" containsMixedTypes="1" containsNumber="1" containsInteger="1" count="0"/>
    </cacheField>
    <cacheField name="Var [%]6">
      <sharedItems containsBlank="1" containsMixedTypes="1"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6" recordCount="125" refreshedBy="JAY BONHAM" refreshedVersion="6">
  <cacheSource type="worksheet">
    <worksheetSource ref="A1:O126" sheet="DataYY03"/>
  </cacheSource>
  <cacheFields count="15">
    <cacheField name="School Type">
      <sharedItems containsMixedTypes="0" count="9">
        <s v="Elementary School"/>
        <s v="Special School"/>
        <s v="Middle School"/>
        <s v="Administration"/>
        <s v="High School"/>
        <s v="Special Schools"/>
        <s v="Middle Schools"/>
        <s v="High Schools"/>
        <s v="Elementary Schools"/>
      </sharedItems>
    </cacheField>
    <cacheField name="Utility">
      <sharedItems containsMixedTypes="0" count="1">
        <s v="Electric"/>
      </sharedItems>
    </cacheField>
    <cacheField name="Place">
      <sharedItems containsMixedTypes="0" count="0"/>
    </cacheField>
    <cacheField name="Location">
      <sharedItems containsMixedTypes="0" count="0"/>
    </cacheField>
    <cacheField name="Area">
      <sharedItems containsSemiMixedTypes="0" containsString="0" containsMixedTypes="0" containsNumber="1" containsInteger="1" count="0"/>
    </cacheField>
    <cacheField name="Eff. Date">
      <sharedItems containsDate="1" containsString="0" containsBlank="1" containsMixedTypes="0" count="0"/>
    </cacheField>
    <cacheField name="Base Year " numFmtId="3">
      <sharedItems containsSemiMixedTypes="0" containsString="0" containsMixedTypes="0" containsNumber="1" containsInteger="1" count="0"/>
    </cacheField>
    <cacheField name="Mmbtus" numFmtId="3">
      <sharedItems containsSemiMixedTypes="0" containsString="0" containsMixedTypes="0" containsNumber="1" containsInteger="1" count="0"/>
    </cacheField>
    <cacheField name="Var [%]" numFmtId="167">
      <sharedItems containsSemiMixedTypes="0" containsString="0" containsMixedTypes="0" containsNumber="1" containsInteger="1" count="0"/>
    </cacheField>
    <cacheField name="Base Year 2" numFmtId="169">
      <sharedItems containsSemiMixedTypes="0" containsString="0" containsMixedTypes="0" containsNumber="1" containsInteger="1" count="0"/>
    </cacheField>
    <cacheField name="Cost" numFmtId="169">
      <sharedItems containsSemiMixedTypes="0" containsString="0" containsMixedTypes="0" containsNumber="1" containsInteger="1" count="0"/>
    </cacheField>
    <cacheField name="Var [%]3" numFmtId="4">
      <sharedItems containsSemiMixedTypes="0" containsString="0" containsMixedTypes="0" containsNumber="1" containsInteger="1" count="0"/>
    </cacheField>
    <cacheField name="Base Year 4" numFmtId="3">
      <sharedItems containsSemiMixedTypes="0" containsString="0" containsMixedTypes="0" containsNumber="1" containsInteger="1" count="0"/>
    </cacheField>
    <cacheField name="Current Year5" numFmtId="3">
      <sharedItems containsSemiMixedTypes="0" containsString="0" containsMixedTypes="0" containsNumber="1" containsInteger="1" count="0"/>
    </cacheField>
    <cacheField name="Var [%]6" numFmtId="167">
      <sharedItems containsSemiMixedTypes="0" containsString="0" containsMixedTypes="0" containsNumber="1" containsInteger="1"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6" recordCount="412" refreshedBy="JAY BONHAM" refreshedVersion="6">
  <cacheSource type="worksheet">
    <worksheetSource ref="A1:O413" sheet="DataYY03"/>
  </cacheSource>
  <cacheFields count="15">
    <cacheField name="School Type">
      <sharedItems containsMixedTypes="0" count="10">
        <s v="Elementary School"/>
        <s v="Special School"/>
        <s v="Middle School"/>
        <s v="Administration"/>
        <s v="High School"/>
        <s v="Special Schools"/>
        <s v="Middle Schools"/>
        <e v="#N/A"/>
        <s v="High Schools"/>
        <s v="Elementary Schools"/>
      </sharedItems>
    </cacheField>
    <cacheField name="Utility">
      <sharedItems containsMixedTypes="0" count="5">
        <s v="Electric"/>
        <s v="Water"/>
        <s v="Irrigation"/>
        <s v="Nat_Gas"/>
        <s v="Fire"/>
      </sharedItems>
    </cacheField>
    <cacheField name="Place">
      <sharedItems containsMixedTypes="0" count="0"/>
    </cacheField>
    <cacheField name="Location">
      <sharedItems containsMixedTypes="0" count="0"/>
    </cacheField>
    <cacheField name="Area">
      <sharedItems containsSemiMixedTypes="0" containsString="0" containsMixedTypes="0" containsNumber="1" containsInteger="1" count="0"/>
    </cacheField>
    <cacheField name="Eff. Date">
      <sharedItems containsDate="1" containsString="0" containsBlank="1" containsMixedTypes="0" count="0"/>
    </cacheField>
    <cacheField name="Base Year ">
      <sharedItems containsSemiMixedTypes="0" containsString="0" containsMixedTypes="0" containsNumber="1" containsInteger="1" count="0"/>
    </cacheField>
    <cacheField name="Mmbtus">
      <sharedItems containsString="0" containsBlank="1" containsMixedTypes="0" containsNumber="1" containsInteger="1" count="0"/>
    </cacheField>
    <cacheField name="Var [%]">
      <sharedItems containsSemiMixedTypes="0" containsString="0" containsMixedTypes="0" containsNumber="1" containsInteger="1" count="0"/>
    </cacheField>
    <cacheField name="Base Year 2">
      <sharedItems containsSemiMixedTypes="0" containsString="0" containsMixedTypes="0" containsNumber="1" containsInteger="1" count="0"/>
    </cacheField>
    <cacheField name="Cost">
      <sharedItems containsSemiMixedTypes="0" containsString="0" containsMixedTypes="0" containsNumber="1" containsInteger="1" count="0"/>
    </cacheField>
    <cacheField name="Var [%]3">
      <sharedItems containsSemiMixedTypes="0" containsString="0" containsMixedTypes="0" containsNumber="1" containsInteger="1" count="0"/>
    </cacheField>
    <cacheField name="Base Year 4">
      <sharedItems containsSemiMixedTypes="0" containsString="0" containsMixedTypes="0" containsNumber="1" containsInteger="1" count="0"/>
    </cacheField>
    <cacheField name="Current Year5">
      <sharedItems containsString="0" containsBlank="1" containsMixedTypes="0" containsNumber="1" containsInteger="1" count="0"/>
    </cacheField>
    <cacheField name="Var [%]6">
      <sharedItems containsSemiMixedTypes="0" containsString="0" containsMixedTypes="0" containsNumber="1" containsInteger="1" count="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413">
  <r>
    <x v="0"/>
    <s v="Electric"/>
    <x v="0"/>
    <x v="0"/>
    <s v="109321"/>
    <s v="36526"/>
    <s v="2678.5224"/>
    <s v="1919.124"/>
    <s v="-28.35139254"/>
    <s v="60622.81"/>
    <s v="45757.56"/>
    <s v="-24.52088579"/>
    <s v="2578"/>
    <s v="3189"/>
    <s v="23.70054306"/>
  </r>
  <r>
    <x v="1"/>
    <s v="Electric"/>
    <x v="1"/>
    <x v="0"/>
    <n v="56061"/>
    <n v="36526"/>
    <n v="1297.4860800000001"/>
    <n v="1413.4097279999999"/>
    <n v="8.93448105431696"/>
    <n v="33774.9"/>
    <n v="32329.59"/>
    <n v="-4.279242869705018"/>
    <n v="1978"/>
    <n v="2149"/>
    <n v="8.645096056622851"/>
  </r>
  <r>
    <x v="1"/>
    <s v="Electric"/>
    <x v="2"/>
    <x v="1"/>
    <n v="50839"/>
    <n v="36526"/>
    <n v="820.102944"/>
    <n v="879.701568"/>
    <n v="7.267212541551368"/>
    <n v="22642.13"/>
    <n v="20136.55"/>
    <n v="-11.066008365820707"/>
    <n v="1394"/>
    <n v="1255"/>
    <n v="-9.971305595408895"/>
  </r>
  <r>
    <x v="0"/>
    <s v="Electric"/>
    <x v="3"/>
    <x v="2"/>
    <n v="107836"/>
    <n v="36526"/>
    <n v="2128.401408"/>
    <n v="2026.175232"/>
    <n v="-4.802955665024643"/>
    <n v="54177.7"/>
    <n v="46047.12"/>
    <n v="-15.00724467816094"/>
    <n v="3065"/>
    <n v="2985"/>
    <n v="-2.6101141924959217"/>
  </r>
  <r>
    <x v="2"/>
    <s v="Electric"/>
    <x v="4"/>
    <x v="2"/>
    <n v="244123"/>
    <n v="36526"/>
    <n v="3689.947885"/>
    <n v="3543.8305290000003"/>
    <n v="-3.959875872339052"/>
    <n v="85034.32"/>
    <n v="78735.35"/>
    <n v="-7.407562029072497"/>
    <n v="6422"/>
    <n v="5607"/>
    <n v="-12.690750545001556"/>
  </r>
  <r>
    <x v="2"/>
    <s v="Electric"/>
    <x v="5"/>
    <x v="0"/>
    <n v="219821"/>
    <n v="36526"/>
    <n v="4480.914048"/>
    <n v="4084.6101400000002"/>
    <n v="-8.844264892268681"/>
    <n v="114043.17"/>
    <n v="95597.4"/>
    <n v="-16.17437501956496"/>
    <n v="5536"/>
    <n v="5513"/>
    <n v="-0.4154624277456647"/>
  </r>
  <r>
    <x v="2"/>
    <s v="Electric"/>
    <x v="6"/>
    <x v="2"/>
    <n v="211238"/>
    <n v="36526"/>
    <n v="3729.1427769999996"/>
    <n v="3909.6678580000003"/>
    <n v="4.8409270386055905"/>
    <n v="82532.39"/>
    <n v="60018.92"/>
    <n v="-27.278344901922747"/>
    <n v="3332"/>
    <n v="3013"/>
    <n v="-9.573829531812725"/>
  </r>
  <r>
    <x v="0"/>
    <s v="Electric"/>
    <x v="7"/>
    <x v="2"/>
    <n v="89416"/>
    <n v="36526"/>
    <n v="1618.5811199999998"/>
    <n v="1158.527232"/>
    <n v="-28.423282732965525"/>
    <n v="42756.01"/>
    <n v="27625.55"/>
    <n v="-35.38791388625833"/>
    <n v="2519"/>
    <n v="1636"/>
    <n v="-35.05359269551409"/>
  </r>
  <r>
    <x v="0"/>
    <s v="Electric"/>
    <x v="8"/>
    <x v="0"/>
    <n v="106804"/>
    <n v="36526"/>
    <n v="2226.695808"/>
    <n v="1799.379648"/>
    <n v="-19.190594353514847"/>
    <n v="51071.28"/>
    <n v="43997.53"/>
    <n v="-13.850739593759938"/>
    <n v="1944"/>
    <n v="2939"/>
    <n v="51.18312757201647"/>
  </r>
  <r>
    <x v="0"/>
    <s v="Electric"/>
    <x v="9"/>
    <x v="0"/>
    <n v="85320"/>
    <n v="36526"/>
    <n v="1422.319968"/>
    <n v="1485.178272"/>
    <n v="4.419420764259429"/>
    <n v="40267.61"/>
    <n v="32988.22"/>
    <n v="-18.0775317929224"/>
    <n v="2665"/>
    <n v="1730"/>
    <n v="-35.0844277673546"/>
  </r>
  <r>
    <x v="3"/>
    <s v="Electric"/>
    <x v="10"/>
    <x v="0"/>
    <n v="22677"/>
    <n v="36526"/>
    <n v="651.2004"/>
    <n v="698.5173120000001"/>
    <n v="7.266106101900453"/>
    <n v="15376.71"/>
    <n v="14050.97"/>
    <n v="-8.621740281243516"/>
    <n v="735"/>
    <n v="745"/>
    <n v="1.3605442176870748"/>
  </r>
  <r>
    <x v="3"/>
    <s v="Electric"/>
    <x v="11"/>
    <x v="2"/>
    <n v="491434"/>
    <n v="36526"/>
    <n v="9328.868942"/>
    <n v="9654.223406"/>
    <n v="3.487608905461245"/>
    <n v="224512.35"/>
    <n v="192566.61"/>
    <n v="-14.228945534622037"/>
    <n v="10532"/>
    <n v="9463"/>
    <n v="-10.150018989745538"/>
  </r>
  <r>
    <x v="0"/>
    <s v="Electric"/>
    <x v="12"/>
    <x v="0"/>
    <n v="106488"/>
    <n v="36526"/>
    <n v="2640.84288"/>
    <n v="2303.930496"/>
    <n v="-12.757759522596059"/>
    <n v="66882.97"/>
    <n v="51753.89"/>
    <n v="-22.620227540732717"/>
    <n v="3744"/>
    <n v="3359"/>
    <n v="-10.283119658119658"/>
  </r>
  <r>
    <x v="0"/>
    <s v="Electric"/>
    <x v="13"/>
    <x v="2"/>
    <n v="97384"/>
    <n v="36526"/>
    <n v="1733.2579199999996"/>
    <n v="1630.315392"/>
    <n v="-5.939250403079053"/>
    <n v="47153.52"/>
    <n v="37944.06"/>
    <n v="-19.530800669812137"/>
    <n v="2789"/>
    <n v="2374"/>
    <n v="-14.879885263535318"/>
  </r>
  <r>
    <x v="2"/>
    <s v="Electric"/>
    <x v="14"/>
    <x v="0"/>
    <n v="229363"/>
    <n v="36526"/>
    <n v="3412.8395889999997"/>
    <n v="3604.9688789999996"/>
    <n v="5.629602124262045"/>
    <n v="100641.68"/>
    <n v="76193.88"/>
    <n v="-24.29192358474143"/>
    <n v="3975"/>
    <n v="3930"/>
    <n v="-1.1320754716981132"/>
  </r>
  <r>
    <x v="3"/>
    <s v="Electric"/>
    <x v="15"/>
    <x v="2"/>
    <n v="18144"/>
    <n v="36526"/>
    <n v="1005.551712"/>
    <n v="966.1913279999999"/>
    <n v="-3.9143072932285015"/>
    <n v="21368.67"/>
    <n v="17599.71"/>
    <n v="-17.637784663247643"/>
    <n v="755"/>
    <n v="737"/>
    <n v="-2.3841059602649004"/>
  </r>
  <r>
    <x v="4"/>
    <s v="Electric"/>
    <x v="16"/>
    <x v="2"/>
    <n v="573468"/>
    <n v="36526"/>
    <n v="12496.228506"/>
    <n v="8943.001785"/>
    <n v="-28.43439297940123"/>
    <n v="250888.82"/>
    <n v="203906.03"/>
    <n v="-18.726537914284105"/>
    <n v="11937"/>
    <n v="12712"/>
    <n v="6.492418530619084"/>
  </r>
  <r>
    <x v="2"/>
    <s v="Electric"/>
    <x v="17"/>
    <x v="0"/>
    <n v="233575"/>
    <n v="36526"/>
    <n v="5066.663347"/>
    <n v="4585.4706160000005"/>
    <n v="-9.497231176508242"/>
    <n v="120576.83"/>
    <n v="105509.53"/>
    <n v="-12.496016025632784"/>
    <n v="5708"/>
    <n v="5945"/>
    <n v="4.152067274001402"/>
  </r>
  <r>
    <x v="3"/>
    <s v="Electric"/>
    <x v="18"/>
    <x v="0"/>
    <n v="49471"/>
    <n v="36526"/>
    <n v="4354.735438000001"/>
    <n v="5615.9851579999995"/>
    <n v="28.962717436153895"/>
    <n v="129203.2"/>
    <n v="106389.48"/>
    <n v="-17.65724068753715"/>
    <n v="4270"/>
    <n v="4322"/>
    <n v="1.2177985948477752"/>
  </r>
  <r>
    <x v="2"/>
    <s v="Electric"/>
    <x v="19"/>
    <x v="0"/>
    <n v="204629"/>
    <n v="36526"/>
    <n v="3143.390065"/>
    <n v="4105.641046"/>
    <n v="30.61188592895802"/>
    <n v="75534.05"/>
    <n v="80157.03"/>
    <n v="6.120392061593414"/>
    <n v="4471"/>
    <n v="4557"/>
    <n v="1.9235070454037129"/>
  </r>
  <r>
    <x v="0"/>
    <s v="Electric"/>
    <x v="20"/>
    <x v="0"/>
    <n v="86318"/>
    <n v="36526"/>
    <n v="1518.64848"/>
    <n v="1643.418144"/>
    <n v="8.215835701491635"/>
    <n v="43804.17"/>
    <n v="41058.37"/>
    <n v="-6.268352990137697"/>
    <n v="2971"/>
    <n v="3067"/>
    <n v="3.2312352743184114"/>
  </r>
  <r>
    <x v="4"/>
    <s v="Electric"/>
    <x v="21"/>
    <x v="0"/>
    <n v="525576"/>
    <n v="36526"/>
    <n v="9454.986118"/>
    <n v="8917.384775999999"/>
    <n v="-5.685903028207923"/>
    <n v="246473.38"/>
    <n v="207825.21"/>
    <n v="-15.68046415397882"/>
    <n v="12451"/>
    <n v="12082"/>
    <n v="-2.9636173801301102"/>
  </r>
  <r>
    <x v="3"/>
    <s v="Electric"/>
    <x v="22"/>
    <x v="2"/>
    <n v="0"/>
    <n v="36526"/>
    <n v="3.9488410000000003"/>
    <n v="4.984843999999999"/>
    <n v="26.235622047076568"/>
    <n v="577.65"/>
    <n v="760.96"/>
    <n v="31.733748809832946"/>
    <n v="63"/>
    <n v="91"/>
    <n v="44.44444444444444"/>
  </r>
  <r>
    <x v="4"/>
    <s v="Electric"/>
    <x v="23"/>
    <x v="2"/>
    <n v="489057"/>
    <n v="36526"/>
    <n v="11254.015961"/>
    <n v="11725.320544"/>
    <n v="4.187879105852288"/>
    <n v="250194.03"/>
    <n v="217310.51"/>
    <n v="-13.143207293955015"/>
    <n v="12823"/>
    <n v="11605"/>
    <n v="-9.4985572798877"/>
  </r>
  <r>
    <x v="3"/>
    <s v="Electric"/>
    <x v="24"/>
    <x v="2"/>
    <n v="0"/>
    <n v="36526"/>
    <n v="29.160671999999995"/>
    <n v="43.903968000000006"/>
    <n v="50.55883485812676"/>
    <n v="3284.87"/>
    <n v="6017.98"/>
    <n v="83.2029882461102"/>
    <n v="153"/>
    <n v="418"/>
    <n v="173.20261437908496"/>
  </r>
  <r>
    <x v="4"/>
    <s v="Electric"/>
    <x v="25"/>
    <x v="0"/>
    <n v="578719"/>
    <n v="36526"/>
    <n v="11388.348227999999"/>
    <n v="9363.361456999999"/>
    <n v="-17.7812157694762"/>
    <n v="267144.31"/>
    <n v="178063.3"/>
    <n v="-33.345651269907265"/>
    <n v="10026"/>
    <n v="6094"/>
    <n v="-39.21803311390385"/>
  </r>
  <r>
    <x v="4"/>
    <s v="Electric"/>
    <x v="26"/>
    <x v="1"/>
    <n v="520212"/>
    <n v="36526"/>
    <n v="10481.831536999998"/>
    <n v="10650.167523"/>
    <n v="1.6059787395531908"/>
    <n v="247711.48"/>
    <n v="205143.16"/>
    <n v="-17.1846375468751"/>
    <n v="10784"/>
    <n v="11056"/>
    <n v="2.5222551928783385"/>
  </r>
  <r>
    <x v="4"/>
    <s v="Electric"/>
    <x v="27"/>
    <x v="2"/>
    <n v="590057"/>
    <n v="36526"/>
    <n v="9284.199598"/>
    <n v="10147.118627"/>
    <n v="9.294490277717543"/>
    <n v="223594.46"/>
    <n v="214001.66"/>
    <n v="-4.290267299109289"/>
    <n v="14217"/>
    <n v="14534"/>
    <n v="2.2297249771400436"/>
  </r>
  <r>
    <x v="4"/>
    <s v="Electric"/>
    <x v="28"/>
    <x v="2"/>
    <n v="530203"/>
    <n v="36526"/>
    <n v="12093.456962999999"/>
    <n v="12084.235036999999"/>
    <n v="-0.0762554993846373"/>
    <n v="338523.03"/>
    <n v="289260.53"/>
    <n v="-14.552185710969207"/>
    <n v="19334"/>
    <n v="20533"/>
    <n v="6.201510292748526"/>
  </r>
  <r>
    <x v="4"/>
    <s v="Electric"/>
    <x v="29"/>
    <x v="0"/>
    <n v="497661"/>
    <n v="36526"/>
    <n v="9543.232645999999"/>
    <n v="10106.47321"/>
    <n v="5.901989240889781"/>
    <n v="230320.93"/>
    <n v="198419.07"/>
    <n v="-13.851046884883626"/>
    <n v="11074"/>
    <n v="9999"/>
    <n v="-9.7074227921257"/>
  </r>
  <r>
    <x v="4"/>
    <s v="Electric"/>
    <x v="30"/>
    <x v="2"/>
    <n v="477795"/>
    <n v="36526"/>
    <n v="12450.675195"/>
    <n v="10092.152262"/>
    <n v="-18.94293197807574"/>
    <n v="260317.55"/>
    <n v="203849.45"/>
    <n v="-21.69200655122945"/>
    <n v="9558"/>
    <n v="9432"/>
    <n v="-1.3182674199623352"/>
  </r>
  <r>
    <x v="4"/>
    <s v="Electric"/>
    <x v="31"/>
    <x v="2"/>
    <n v="535914"/>
    <n v="36526"/>
    <n v="5769.502437"/>
    <n v="6101.604402"/>
    <n v="5.756163007579637"/>
    <n v="133805.01"/>
    <n v="120729.43"/>
    <n v="-9.7721154088326"/>
    <n v="6012"/>
    <n v="6576"/>
    <n v="9.3812375249501"/>
  </r>
  <r>
    <x v="0"/>
    <s v="Electric"/>
    <x v="32"/>
    <x v="0"/>
    <n v="99588"/>
    <n v="36526"/>
    <n v="1805.794409"/>
    <n v="1812.030205"/>
    <n v="0.3453214811675703"/>
    <n v="47536.22"/>
    <n v="39203.85"/>
    <n v="-17.528465662604223"/>
    <n v="2507"/>
    <n v="2401"/>
    <n v="-4.228161148783407"/>
  </r>
  <r>
    <x v="2"/>
    <s v="Electric"/>
    <x v="33"/>
    <x v="0"/>
    <n v="213572"/>
    <n v="36526"/>
    <n v="6251.404385000001"/>
    <n v="4151.50494"/>
    <n v="-33.59084320378677"/>
    <n v="135658.98"/>
    <n v="92512.4"/>
    <n v="-31.805177954308665"/>
    <n v="4828"/>
    <n v="5101"/>
    <n v="5.654515327257664"/>
  </r>
  <r>
    <x v="0"/>
    <s v="Electric"/>
    <x v="34"/>
    <x v="1"/>
    <n v="97959"/>
    <n v="36526"/>
    <n v="1566.15744"/>
    <n v="1619.836992"/>
    <n v="3.4274684414869534"/>
    <n v="44555.37"/>
    <n v="39147.73"/>
    <n v="-12.136898425487209"/>
    <n v="2950"/>
    <n v="2744"/>
    <n v="-6.983050847457626"/>
  </r>
  <r>
    <x v="3"/>
    <s v="Electric"/>
    <x v="35"/>
    <x v="0"/>
    <n v="6832"/>
    <n v="36526"/>
    <n v="178.70468"/>
    <n v="156.17471999999998"/>
    <n v="-12.607369879736797"/>
    <n v="4562.17"/>
    <n v="3654.92"/>
    <n v="-19.886369863464097"/>
    <n v="239"/>
    <n v="210"/>
    <n v="-12.133891213389122"/>
  </r>
  <r>
    <x v="3"/>
    <s v="Electric"/>
    <x v="36"/>
    <x v="0"/>
    <n v="4573"/>
    <n v="36526"/>
    <n v="120.92259"/>
    <n v="111.278367"/>
    <n v="-7.975534596141219"/>
    <n v="3412.81"/>
    <n v="3194.8"/>
    <n v="-6.387991127545922"/>
    <n v="193"/>
    <n v="200"/>
    <n v="3.626943005181347"/>
  </r>
  <r>
    <x v="3"/>
    <s v="Electric"/>
    <x v="37"/>
    <x v="0"/>
    <n v="26451"/>
    <n v="36526"/>
    <n v="1200.604662"/>
    <n v="1322.328"/>
    <n v="10.138502860486138"/>
    <n v="26523.34"/>
    <n v="24914.12"/>
    <n v="-6.067184600431167"/>
    <n v="1078"/>
    <n v="1151"/>
    <n v="6.771799628942486"/>
  </r>
  <r>
    <x v="0"/>
    <s v="Electric"/>
    <x v="38"/>
    <x v="1"/>
    <n v="95366"/>
    <n v="36526"/>
    <n v="1459.67184"/>
    <n v="1430.1280800000002"/>
    <n v="-2.024000134167135"/>
    <n v="39770.94"/>
    <n v="35616.71"/>
    <n v="-10.445390528863536"/>
    <n v="2462"/>
    <n v="2534"/>
    <n v="2.9244516653127537"/>
  </r>
  <r>
    <x v="0"/>
    <s v="Electric"/>
    <x v="39"/>
    <x v="0"/>
    <n v="76544"/>
    <n v="36526"/>
    <n v="1423.3029119999999"/>
    <n v="1649.989824"/>
    <n v="15.926821345532408"/>
    <n v="38757.99"/>
    <n v="36377.09"/>
    <n v="-6.142991419317668"/>
    <n v="2417"/>
    <n v="2070"/>
    <n v="-14.35664046338436"/>
  </r>
  <r>
    <x v="3"/>
    <s v="Electric"/>
    <x v="40"/>
    <x v="2"/>
    <n v="70662"/>
    <n v="36526"/>
    <n v="1675.3734399999998"/>
    <n v="1734.7836799999998"/>
    <n v="3.5460894020141596"/>
    <n v="38828.01"/>
    <n v="33176.3"/>
    <n v="-14.555754982034875"/>
    <n v="1711"/>
    <n v="1602"/>
    <n v="-6.370543541788428"/>
  </r>
  <r>
    <x v="3"/>
    <s v="Electric"/>
    <x v="41"/>
    <x v="2"/>
    <n v="33198"/>
    <n v="36526"/>
    <n v="698.074542"/>
    <n v="664.3422679999999"/>
    <n v="-4.8321879642475265"/>
    <n v="14173.2"/>
    <n v="11323.66"/>
    <n v="-20.105127988033754"/>
    <n v="420"/>
    <n v="378"/>
    <n v="-10"/>
  </r>
  <r>
    <x v="3"/>
    <s v="Electric"/>
    <x v="42"/>
    <x v="0"/>
    <n v="0"/>
    <n v="36526"/>
    <n v="1492.1089920000002"/>
    <n v="1412.7690240000002"/>
    <n v="-5.317303791169696"/>
    <n v="32771.28"/>
    <n v="26958.6"/>
    <n v="-17.73711615780647"/>
    <n v="1318"/>
    <n v="1275"/>
    <n v="-3.2625189681335356"/>
  </r>
  <r>
    <x v="0"/>
    <s v="Electric"/>
    <x v="43"/>
    <x v="2"/>
    <n v="95036"/>
    <n v="36526"/>
    <n v="2047.8"/>
    <n v="2059.26768"/>
    <n v="0.5600000000000054"/>
    <n v="53452.89"/>
    <n v="48912.59"/>
    <n v="-8.494021558048592"/>
    <n v="3184"/>
    <n v="3427"/>
    <n v="7.631909547738693"/>
  </r>
  <r>
    <x v="0"/>
    <s v="Electric"/>
    <x v="44"/>
    <x v="0"/>
    <n v="91621"/>
    <n v="36526"/>
    <n v="1535.358528"/>
    <n v="1526.451552"/>
    <n v="-0.580123524086737"/>
    <n v="41197.23"/>
    <n v="35639.95"/>
    <n v="-13.48945062568527"/>
    <n v="2485"/>
    <n v="2299"/>
    <n v="-7.484909456740443"/>
  </r>
  <r>
    <x v="3"/>
    <s v="Electric"/>
    <x v="45"/>
    <x v="0"/>
    <n v="57684"/>
    <n v="36526"/>
    <n v="7132.207534"/>
    <n v="7183.634276000001"/>
    <n v="0.7210494332202657"/>
    <n v="160693.67"/>
    <n v="134926.07"/>
    <n v="-16.035230261403576"/>
    <n v="4855"/>
    <n v="4472"/>
    <n v="-7.888774459320289"/>
  </r>
  <r>
    <x v="3"/>
    <s v="Electric"/>
    <x v="46"/>
    <x v="0"/>
    <n v="49742"/>
    <n v="36526"/>
    <n v="1163.8056960000001"/>
    <n v="1303.2650879999999"/>
    <n v="11.983047726894766"/>
    <n v="26506.92"/>
    <n v="20686.26"/>
    <n v="-21.959020512379407"/>
    <n v="1101"/>
    <n v="1198"/>
    <n v="8.810172570390554"/>
  </r>
  <r>
    <x v="0"/>
    <s v="Electric"/>
    <x v="47"/>
    <x v="0"/>
    <n v="90518"/>
    <n v="36526"/>
    <n v="1710.977856"/>
    <n v="1718.7730560000002"/>
    <n v="0.45559911676613696"/>
    <n v="46599.72"/>
    <n v="40452.67"/>
    <n v="-13.191173680871902"/>
    <n v="2922"/>
    <n v="2705"/>
    <n v="-7.426420260095824"/>
  </r>
  <r>
    <x v="0"/>
    <s v="Electric"/>
    <x v="48"/>
    <x v="0"/>
    <n v="85844"/>
    <n v="36526"/>
    <n v="2024.069411"/>
    <n v="1962.8163"/>
    <n v="-3.026235694641399"/>
    <n v="53082.65"/>
    <n v="44038.53"/>
    <n v="-17.037808022018496"/>
    <n v="2774"/>
    <n v="2814"/>
    <n v="1.4419610670511895"/>
  </r>
  <r>
    <x v="0"/>
    <s v="Electric"/>
    <x v="49"/>
    <x v="0"/>
    <n v="91424"/>
    <n v="36526"/>
    <n v="1997.342208"/>
    <n v="2091.629088"/>
    <n v="4.720617209327003"/>
    <n v="49654.69"/>
    <n v="44784.66"/>
    <n v="-9.807794591004395"/>
    <n v="2651"/>
    <n v="2652"/>
    <n v="0.03772161448509996"/>
  </r>
  <r>
    <x v="2"/>
    <s v="Electric"/>
    <x v="50"/>
    <x v="2"/>
    <n v="218801"/>
    <n v="36526"/>
    <n v="3999.984805"/>
    <n v="3394.699494"/>
    <n v="-15.13219025840775"/>
    <n v="93954.23"/>
    <n v="75796.93"/>
    <n v="-19.325686560360296"/>
    <n v="4835"/>
    <n v="4687"/>
    <n v="-3.0610134436401237"/>
  </r>
  <r>
    <x v="0"/>
    <s v="Electric"/>
    <x v="51"/>
    <x v="0"/>
    <n v="85052"/>
    <n v="36526"/>
    <n v="1671.0048000000002"/>
    <n v="1807.214254"/>
    <n v="8.151350253452293"/>
    <n v="44739.24"/>
    <n v="40737.08"/>
    <n v="-8.945525225730254"/>
    <n v="2753"/>
    <n v="2585"/>
    <n v="-6.102433708681438"/>
  </r>
  <r>
    <x v="0"/>
    <s v="Electric"/>
    <x v="52"/>
    <x v="2"/>
    <n v="85650"/>
    <n v="36526"/>
    <n v="1291.588416"/>
    <n v="1545.1462080000001"/>
    <n v="19.631469968216255"/>
    <n v="38010.56"/>
    <n v="34473.87"/>
    <n v="-9.304493277657578"/>
    <n v="2579"/>
    <n v="2018"/>
    <n v="-21.752617293524622"/>
  </r>
  <r>
    <x v="2"/>
    <s v="Electric"/>
    <x v="53"/>
    <x v="2"/>
    <n v="192751"/>
    <n v="36526"/>
    <n v="3723.0266810000003"/>
    <n v="4002.144889"/>
    <n v="7.497077832518491"/>
    <n v="96885.07"/>
    <n v="88119.65"/>
    <n v="-9.047235038381043"/>
    <n v="4687"/>
    <n v="4683"/>
    <n v="-0.08534243652656283"/>
  </r>
  <r>
    <x v="0"/>
    <s v="Electric"/>
    <x v="54"/>
    <x v="0"/>
    <n v="88795"/>
    <n v="36526"/>
    <n v="2072.045952"/>
    <n v="1983.510144"/>
    <n v="-4.272868944559003"/>
    <n v="55404.99"/>
    <n v="44340.14"/>
    <n v="-19.970854610748958"/>
    <n v="3415"/>
    <n v="2741"/>
    <n v="-19.736456808199122"/>
  </r>
  <r>
    <x v="0"/>
    <s v="Electric"/>
    <x v="55"/>
    <x v="1"/>
    <n v="96483"/>
    <n v="36526"/>
    <n v="1606.1304959999998"/>
    <n v="1426.526016"/>
    <n v="-11.182433833819678"/>
    <n v="46372.11"/>
    <n v="38426.72"/>
    <n v="-17.133984198691845"/>
    <n v="3161"/>
    <n v="2984"/>
    <n v="-5.599493831066118"/>
  </r>
  <r>
    <x v="0"/>
    <s v="Electric"/>
    <x v="56"/>
    <x v="0"/>
    <n v="99937"/>
    <n v="36526"/>
    <n v="1840.0643420000001"/>
    <n v="1867.522176"/>
    <n v="1.492221406244709"/>
    <n v="53774.15"/>
    <n v="45658.39"/>
    <n v="-15.092307363296305"/>
    <n v="3488"/>
    <n v="2954"/>
    <n v="-15.309633027522937"/>
  </r>
  <r>
    <x v="0"/>
    <s v="Electric"/>
    <x v="57"/>
    <x v="0"/>
    <n v="81704"/>
    <n v="36526"/>
    <n v="1573.3656959999998"/>
    <n v="1176.2092799999998"/>
    <n v="-25.2424733175319"/>
    <n v="39420.69"/>
    <n v="29551.76"/>
    <n v="-25.034899186188778"/>
    <n v="1837"/>
    <n v="2037"/>
    <n v="10.887316276537833"/>
  </r>
  <r>
    <x v="0"/>
    <s v="Electric"/>
    <x v="58"/>
    <x v="1"/>
    <n v="112519"/>
    <n v="36526"/>
    <n v="1872.5083200000001"/>
    <n v="1444.8780000000002"/>
    <n v="-22.8372987950195"/>
    <n v="46915.4"/>
    <n v="36677.23"/>
    <n v="-21.82262114359038"/>
    <n v="2366"/>
    <n v="2700"/>
    <n v="14.11665257819104"/>
  </r>
  <r>
    <x v="2"/>
    <s v="Electric"/>
    <x v="59"/>
    <x v="2"/>
    <n v="226178"/>
    <n v="36526"/>
    <n v="4002.9165719999996"/>
    <n v="3861.0415749999997"/>
    <n v="-3.54429063029695"/>
    <n v="104633.34"/>
    <n v="85231.01"/>
    <n v="-18.54316224637386"/>
    <n v="5346"/>
    <n v="5293"/>
    <n v="-0.9913954358398803"/>
  </r>
  <r>
    <x v="0"/>
    <s v="Electric"/>
    <x v="60"/>
    <x v="0"/>
    <n v="87881"/>
    <n v="36526"/>
    <n v="1720.8072960000002"/>
    <n v="1699.7744639999999"/>
    <n v="-1.2222653895582007"/>
    <n v="45115.94"/>
    <n v="38707.97"/>
    <n v="-14.203339218910212"/>
    <n v="2682"/>
    <n v="2529"/>
    <n v="-5.704697986577181"/>
  </r>
  <r>
    <x v="3"/>
    <s v="Electric"/>
    <x v="61"/>
    <x v="0"/>
    <n v="132467"/>
    <n v="36526"/>
    <n v="1143.49152"/>
    <n v="1126.186866"/>
    <n v="-1.5133172128814747"/>
    <n v="27908.8"/>
    <n v="24892.09"/>
    <n v="-10.809171300808348"/>
    <n v="1429"/>
    <n v="1539"/>
    <n v="7.697690692792162"/>
  </r>
  <r>
    <x v="3"/>
    <s v="Electric"/>
    <x v="62"/>
    <x v="0"/>
    <n v="0"/>
    <n v="36526"/>
    <n v="1147.04104"/>
    <n v="1160.9163999999998"/>
    <n v="1.2096655233887517"/>
    <n v="26505.56"/>
    <n v="23717.99"/>
    <n v="-10.516925505441122"/>
    <n v="1188"/>
    <n v="1253"/>
    <n v="5.4713804713804715"/>
  </r>
  <r>
    <x v="3"/>
    <s v="Electric"/>
    <x v="63"/>
    <x v="0"/>
    <n v="0"/>
    <n v="36526"/>
    <n v="1913.19128"/>
    <n v="1724.9921600000002"/>
    <n v="-9.836921272189773"/>
    <n v="42335.01"/>
    <n v="34307.84"/>
    <n v="-18.96106791990837"/>
    <n v="1734"/>
    <n v="1779"/>
    <n v="2.595155709342561"/>
  </r>
  <r>
    <x v="3"/>
    <s v="Electric"/>
    <x v="64"/>
    <x v="0"/>
    <n v="0"/>
    <n v="36526"/>
    <n v="12.49158"/>
    <n v="12.490969999999999"/>
    <n v="-0.004883289383740819"/>
    <n v="637"/>
    <n v="615.63"/>
    <n v="-3.3547880690737832"/>
    <n v="0"/>
    <n v="0"/>
    <n v="0"/>
  </r>
  <r>
    <x v="3"/>
    <s v="Electric"/>
    <x v="65"/>
    <x v="0"/>
    <n v="0"/>
    <n v="36526"/>
    <n v="48.32807999999999"/>
    <n v="47.64448"/>
    <n v="-1.4144985689478824"/>
    <n v="1683.28"/>
    <n v="1494.23"/>
    <n v="-11.231048904519747"/>
    <n v="114"/>
    <n v="116"/>
    <n v="1.7543859649122808"/>
  </r>
  <r>
    <x v="3"/>
    <s v="Electric"/>
    <x v="66"/>
    <x v="0"/>
    <n v="0"/>
    <n v="36526"/>
    <n v="366.62445999999994"/>
    <n v="377.431912"/>
    <n v="2.947826230688495"/>
    <n v="7362.18"/>
    <n v="6627.21"/>
    <n v="-9.983048499221697"/>
    <n v="172"/>
    <n v="223"/>
    <n v="29.651162790697676"/>
  </r>
  <r>
    <x v="3"/>
    <s v="Electric"/>
    <x v="67"/>
    <x v="0"/>
    <n v="6054"/>
    <n v="36526"/>
    <n v="110.434441"/>
    <n v="91.830484"/>
    <n v="-16.846154905605953"/>
    <n v="2749.65"/>
    <n v="2151.86"/>
    <n v="-21.740585165384687"/>
    <n v="130"/>
    <n v="125"/>
    <n v="-3.8461538461538463"/>
  </r>
  <r>
    <x v="3"/>
    <s v="Electric"/>
    <x v="68"/>
    <x v="0"/>
    <n v="35364"/>
    <n v="36526"/>
    <n v="1081.8936959999999"/>
    <n v="1077.9202560000003"/>
    <n v="-0.36726713675200884"/>
    <n v="27527.83"/>
    <n v="24463.53"/>
    <n v="-11.131643867315368"/>
    <n v="1503"/>
    <n v="1567"/>
    <n v="4.258150365934797"/>
  </r>
  <r>
    <x v="3"/>
    <s v="Electric"/>
    <x v="69"/>
    <x v="2"/>
    <n v="12152"/>
    <n v="36526"/>
    <n v="5718.102656999999"/>
    <n v="6107.014007000002"/>
    <n v="6.801405524328999"/>
    <n v="175370.92"/>
    <n v="156647.06"/>
    <n v="-10.676718808340631"/>
    <n v="12024"/>
    <n v="10667"/>
    <n v="-11.285761809713906"/>
  </r>
  <r>
    <x v="4"/>
    <s v="Electric"/>
    <x v="70"/>
    <x v="0"/>
    <n v="510425"/>
    <n v="36526"/>
    <n v="8459.512995"/>
    <n v="8767.024295"/>
    <n v="3.635094599201571"/>
    <n v="218939.73"/>
    <n v="191259.3"/>
    <n v="-12.642945161209434"/>
    <n v="10899"/>
    <n v="11226"/>
    <n v="3.0002752546105147"/>
  </r>
  <r>
    <x v="3"/>
    <s v="Electric"/>
    <x v="71"/>
    <x v="0"/>
    <n v="2385"/>
    <n v="36526"/>
    <n v="68.80608000000001"/>
    <n v="93.047808"/>
    <n v="35.231956245727126"/>
    <n v="5011.89"/>
    <n v="5758.7"/>
    <n v="14.90076597850312"/>
    <n v="207"/>
    <n v="385"/>
    <n v="85.99033816425121"/>
  </r>
  <r>
    <x v="0"/>
    <s v="Electric"/>
    <x v="72"/>
    <x v="1"/>
    <n v="73726"/>
    <n v="36526"/>
    <n v="1148.733888"/>
    <n v="991.423488"/>
    <n v="-13.694242125466046"/>
    <n v="31236.68"/>
    <n v="26336.35"/>
    <n v="-15.687742743466975"/>
    <n v="1740"/>
    <n v="1950"/>
    <n v="12.068965517241379"/>
  </r>
  <r>
    <x v="2"/>
    <s v="Electric"/>
    <x v="73"/>
    <x v="0"/>
    <n v="221601"/>
    <n v="36526"/>
    <n v="3916.547194"/>
    <n v="3952.465606"/>
    <n v="0.9170938130153486"/>
    <n v="112265.08"/>
    <n v="95585.92"/>
    <n v="-14.856943940181576"/>
    <n v="5923"/>
    <n v="5800"/>
    <n v="-2.076650346108391"/>
  </r>
  <r>
    <x v="0"/>
    <s v="Electric"/>
    <x v="74"/>
    <x v="2"/>
    <n v="95518"/>
    <n v="36526"/>
    <n v="1638.24"/>
    <n v="1540.542144"/>
    <n v="-5.9635862877234125"/>
    <n v="42903.23"/>
    <n v="36702.47"/>
    <n v="-14.452897835431038"/>
    <n v="2444"/>
    <n v="2506"/>
    <n v="2.536824877250409"/>
  </r>
  <r>
    <x v="0"/>
    <s v="Electric"/>
    <x v="75"/>
    <x v="0"/>
    <n v="93897"/>
    <n v="36526"/>
    <n v="1988.4957120000001"/>
    <n v="1921.5864000000001"/>
    <n v="-3.3648205322355715"/>
    <n v="52351.75"/>
    <n v="44759.27"/>
    <n v="-14.502819867530693"/>
    <n v="3125"/>
    <n v="3030"/>
    <n v="-3.04"/>
  </r>
  <r>
    <x v="2"/>
    <s v="Electric"/>
    <x v="76"/>
    <x v="0"/>
    <n v="189290"/>
    <n v="36526"/>
    <n v="2885.483307"/>
    <n v="3293.8863"/>
    <n v="14.153711858572887"/>
    <n v="77930"/>
    <n v="71293.16"/>
    <n v="-8.51641216476325"/>
    <n v="4251"/>
    <n v="3927"/>
    <n v="-7.621736062103034"/>
  </r>
  <r>
    <x v="0"/>
    <s v="Electric"/>
    <x v="77"/>
    <x v="2"/>
    <n v="115158"/>
    <n v="36526"/>
    <n v="1715.23728"/>
    <n v="1683.2275199999997"/>
    <n v="-1.8662001096431533"/>
    <n v="44900.7"/>
    <n v="39739.8"/>
    <n v="-11.49403015988615"/>
    <n v="2622"/>
    <n v="2650"/>
    <n v="1.0678871090770405"/>
  </r>
  <r>
    <x v="4"/>
    <s v="Electric"/>
    <x v="78"/>
    <x v="0"/>
    <n v="535686"/>
    <n v="36526"/>
    <n v="9092.696168"/>
    <n v="9187.587142"/>
    <n v="1.043595565569995"/>
    <n v="214697.93"/>
    <n v="192507.42"/>
    <n v="-10.335688844321881"/>
    <n v="9906"/>
    <n v="10291"/>
    <n v="3.886533414092469"/>
  </r>
  <r>
    <x v="3"/>
    <s v="Electric"/>
    <x v="79"/>
    <x v="0"/>
    <n v="0"/>
    <n v="36526"/>
    <n v="44.547072"/>
    <n v="7.535328000000001"/>
    <n v="-83.08457175367217"/>
    <n v="3148.39"/>
    <n v="1384.47"/>
    <n v="-56.02609587757553"/>
    <n v="224"/>
    <n v="97"/>
    <n v="-56.69642857142857"/>
  </r>
  <r>
    <x v="0"/>
    <s v="Electric"/>
    <x v="80"/>
    <x v="0"/>
    <n v="95352"/>
    <n v="36526"/>
    <n v="1614.649344"/>
    <n v="1763.9886719999997"/>
    <n v="9.249025403251878"/>
    <n v="44202.96"/>
    <n v="42413.04"/>
    <n v="-4.04932158389393"/>
    <n v="2782"/>
    <n v="2935"/>
    <n v="5.499640546369518"/>
  </r>
  <r>
    <x v="0"/>
    <s v="Electric"/>
    <x v="81"/>
    <x v="0"/>
    <n v="88406"/>
    <n v="36526"/>
    <n v="1426.2517440000001"/>
    <n v="1433.072448"/>
    <n v="0.4782258131282381"/>
    <n v="39264.37"/>
    <n v="34745.58"/>
    <n v="-11.50862728728361"/>
    <n v="2448"/>
    <n v="2445"/>
    <n v="-0.12254901960784315"/>
  </r>
  <r>
    <x v="0"/>
    <s v="Electric"/>
    <x v="82"/>
    <x v="0"/>
    <n v="77078"/>
    <n v="36526"/>
    <n v="1528.150272"/>
    <n v="1592.3093760000002"/>
    <n v="4.198481338882353"/>
    <n v="42974"/>
    <n v="39901.95"/>
    <n v="-7.148624749848746"/>
    <n v="2796"/>
    <n v="2834"/>
    <n v="1.3590844062947067"/>
  </r>
  <r>
    <x v="3"/>
    <s v="Electric"/>
    <x v="83"/>
    <x v="0"/>
    <n v="35143"/>
    <n v="36526"/>
    <n v="1769.9544959999998"/>
    <n v="1602.1138560000002"/>
    <n v="-9.482765821342328"/>
    <n v="40740.34"/>
    <n v="33012.85"/>
    <n v="-18.967662027366487"/>
    <n v="1835"/>
    <n v="1828"/>
    <n v="-0.3814713896457766"/>
  </r>
  <r>
    <x v="0"/>
    <s v="Electric"/>
    <x v="84"/>
    <x v="0"/>
    <n v="0"/>
    <n v="36526"/>
    <n v="2196.931035"/>
    <n v="1187.5578489999998"/>
    <n v="-45.94469147730894"/>
    <n v="55126.43"/>
    <n v="32155.21"/>
    <n v="-41.670066427301755"/>
    <n v="2658"/>
    <n v="1214"/>
    <n v="-54.32656132430398"/>
  </r>
  <r>
    <x v="0"/>
    <s v="Electric"/>
    <x v="85"/>
    <x v="0"/>
    <n v="124682"/>
    <n v="36526"/>
    <n v="968.5274880000001"/>
    <n v="1644.0741119999998"/>
    <n v="69.74986589126108"/>
    <n v="25916.92"/>
    <n v="31726.85"/>
    <n v="22.417517204976516"/>
    <n v="1060"/>
    <n v="2729"/>
    <n v="157.45283018867926"/>
  </r>
  <r>
    <x v="0"/>
    <s v="Electric"/>
    <x v="86"/>
    <x v="1"/>
    <n v="107075"/>
    <n v="36526"/>
    <n v="1888.5494200000003"/>
    <n v="2101.083756"/>
    <n v="11.253840315176904"/>
    <n v="52426.96"/>
    <n v="45869.03"/>
    <n v="-12.508697815017312"/>
    <n v="2755"/>
    <n v="2406"/>
    <n v="-12.667876588021779"/>
  </r>
  <r>
    <x v="0"/>
    <s v="Electric"/>
    <x v="87"/>
    <x v="0"/>
    <n v="88192"/>
    <n v="36526"/>
    <n v="1854.815328"/>
    <n v="1603.1324160000001"/>
    <n v="-13.569162827190082"/>
    <n v="49448.78"/>
    <n v="36177.65"/>
    <n v="-26.838134328086557"/>
    <n v="3024"/>
    <n v="2151"/>
    <n v="-28.86904761904762"/>
  </r>
  <r>
    <x v="0"/>
    <s v="Electric"/>
    <x v="88"/>
    <x v="2"/>
    <n v="74252"/>
    <n v="36526"/>
    <n v="1511.1125759999998"/>
    <n v="1311.195264"/>
    <n v="-13.229809292514274"/>
    <n v="41063.53"/>
    <n v="33550.39"/>
    <n v="-18.296381241456835"/>
    <n v="2575"/>
    <n v="2423"/>
    <n v="-5.902912621359223"/>
  </r>
  <r>
    <x v="3"/>
    <s v="Electric"/>
    <x v="89"/>
    <x v="2"/>
    <n v="1121"/>
    <n v="36526"/>
    <n v="2.3952240000000002"/>
    <n v="2.320627"/>
    <n v="-3.1144060012758716"/>
    <n v="91.41"/>
    <n v="85.22"/>
    <n v="-6.771687999124822"/>
    <n v="12"/>
    <n v="9"/>
    <n v="-25"/>
  </r>
  <r>
    <x v="3"/>
    <s v="Electric"/>
    <x v="90"/>
    <x v="2"/>
    <n v="924"/>
    <n v="36526"/>
    <n v="10.054697999999998"/>
    <n v="8.675381"/>
    <n v="-13.718134547651246"/>
    <n v="267.56"/>
    <n v="220.97"/>
    <n v="-17.412916728957992"/>
    <n v="10"/>
    <n v="12"/>
    <n v="20"/>
  </r>
  <r>
    <x v="0"/>
    <s v="Electric"/>
    <x v="91"/>
    <x v="0"/>
    <n v="83355"/>
    <n v="36526"/>
    <n v="2024.8646399999998"/>
    <n v="1444.227648"/>
    <n v="-28.675348491442854"/>
    <n v="49184.28"/>
    <n v="32059.11"/>
    <n v="-34.81838099490325"/>
    <n v="2129"/>
    <n v="1754"/>
    <n v="-17.613903240958194"/>
  </r>
  <r>
    <x v="0"/>
    <s v="Electric"/>
    <x v="92"/>
    <x v="0"/>
    <n v="84893"/>
    <n v="36526"/>
    <n v="1572.055104"/>
    <n v="1886.545536"/>
    <n v="20.00505142598361"/>
    <n v="41642.91"/>
    <n v="42975.91"/>
    <n v="3.2010250964690026"/>
    <n v="2508"/>
    <n v="2815"/>
    <n v="12.240829346092504"/>
  </r>
  <r>
    <x v="0"/>
    <s v="Electric"/>
    <x v="93"/>
    <x v="2"/>
    <n v="112970"/>
    <n v="36526"/>
    <n v="1532.737344"/>
    <n v="1495.328256"/>
    <n v="-2.4406717919701024"/>
    <n v="40844.54"/>
    <n v="33349.75"/>
    <n v="-18.34955173935121"/>
    <n v="2411"/>
    <n v="2087"/>
    <n v="-13.438407299875571"/>
  </r>
  <r>
    <x v="0"/>
    <s v="Electric"/>
    <x v="94"/>
    <x v="0"/>
    <n v="104852"/>
    <n v="36526"/>
    <n v="1872.835968"/>
    <n v="1670.289408"/>
    <n v="-10.814965296522962"/>
    <n v="50319.62"/>
    <n v="40962.49"/>
    <n v="-18.59539082369859"/>
    <n v="3027"/>
    <n v="2808"/>
    <n v="-7.234886025768088"/>
  </r>
  <r>
    <x v="0"/>
    <s v="Electric"/>
    <x v="95"/>
    <x v="2"/>
    <n v="100456"/>
    <n v="36526"/>
    <n v="1469.8289279999997"/>
    <n v="1655.277696"/>
    <n v="12.617030762371844"/>
    <n v="42671.44"/>
    <n v="39501.92"/>
    <n v="-7.427731522535916"/>
    <n v="2941"/>
    <n v="2692"/>
    <n v="-8.466507990479428"/>
  </r>
  <r>
    <x v="3"/>
    <s v="Electric"/>
    <x v="96"/>
    <x v="0"/>
    <n v="86181"/>
    <n v="36526"/>
    <n v="1110.7267200000001"/>
    <n v="1196.2022399999998"/>
    <n v="7.695459059452519"/>
    <n v="30106.52"/>
    <n v="27269.85"/>
    <n v="-9.422111888056142"/>
    <n v="1725"/>
    <n v="1594"/>
    <n v="-7.594202898550725"/>
  </r>
  <r>
    <x v="3"/>
    <s v="Electric"/>
    <x v="97"/>
    <x v="0"/>
    <n v="1875"/>
    <n v="36526"/>
    <n v="25.556544"/>
    <n v="23.261952"/>
    <n v="-8.97849098845289"/>
    <n v="984.99"/>
    <n v="845.54"/>
    <n v="-14.157504137097838"/>
    <n v="68"/>
    <n v="66"/>
    <n v="-2.9411764705882355"/>
  </r>
  <r>
    <x v="0"/>
    <s v="Electric"/>
    <x v="98"/>
    <x v="0"/>
    <n v="90012"/>
    <n v="36526"/>
    <n v="1767.9886079999999"/>
    <n v="1994.664192"/>
    <n v="12.821099806543554"/>
    <n v="44255.96"/>
    <n v="43376.49"/>
    <n v="-1.9872351656138516"/>
    <n v="2907"/>
    <n v="2529"/>
    <n v="-13.003095975232197"/>
  </r>
  <r>
    <x v="0"/>
    <s v="Electric"/>
    <x v="99"/>
    <x v="2"/>
    <n v="110549"/>
    <n v="36526"/>
    <n v="921.9878199999999"/>
    <n v="998.7496030000001"/>
    <n v="8.325682979195987"/>
    <n v="21684.79"/>
    <n v="19635.49"/>
    <n v="-9.450402793847669"/>
    <n v="1074"/>
    <n v="1054"/>
    <n v="-1.8621973929236497"/>
  </r>
  <r>
    <x v="0"/>
    <s v="Electric"/>
    <x v="100"/>
    <x v="1"/>
    <n v="96996"/>
    <n v="36526"/>
    <n v="1573.3656959999998"/>
    <n v="1576.5838079999999"/>
    <n v="0.2045368097309759"/>
    <n v="44277.63"/>
    <n v="38038.75"/>
    <n v="-14.090365721923238"/>
    <n v="2876"/>
    <n v="2595"/>
    <n v="-9.770514603616133"/>
  </r>
  <r>
    <x v="0"/>
    <s v="Electric"/>
    <x v="101"/>
    <x v="2"/>
    <n v="92346"/>
    <n v="36526"/>
    <n v="1344.9950399999998"/>
    <n v="1215.5740799999999"/>
    <n v="-9.622411693057241"/>
    <n v="30617.26"/>
    <n v="24748.92"/>
    <n v="-19.166770638522195"/>
    <n v="1339"/>
    <n v="1330"/>
    <n v="-0.6721433905899926"/>
  </r>
  <r>
    <x v="2"/>
    <s v="Electric"/>
    <x v="102"/>
    <x v="2"/>
    <n v="240580"/>
    <n v="36526"/>
    <n v="3716.9617799999996"/>
    <n v="3781.6074129999997"/>
    <n v="1.7392062879914894"/>
    <n v="90656.42"/>
    <n v="78406.23"/>
    <n v="-13.512766111876026"/>
    <n v="5721"/>
    <n v="5632"/>
    <n v="-1.5556720852997727"/>
  </r>
  <r>
    <x v="0"/>
    <s v="Electric"/>
    <x v="103"/>
    <x v="2"/>
    <n v="96096"/>
    <n v="36526"/>
    <n v="2279.447136"/>
    <n v="1903.9625280000002"/>
    <n v="-16.472617507546346"/>
    <n v="57763.64"/>
    <n v="45186.89"/>
    <n v="-21.77277955475105"/>
    <n v="3249"/>
    <n v="3148"/>
    <n v="-3.1086488150200062"/>
  </r>
  <r>
    <x v="3"/>
    <s v="Electric"/>
    <x v="104"/>
    <x v="2"/>
    <n v="22020"/>
    <n v="36526"/>
    <n v="2800.735104"/>
    <n v="2705.061888"/>
    <n v="-3.416003743565735"/>
    <n v="58526.5"/>
    <n v="48096.85"/>
    <n v="-17.820389054530853"/>
    <n v="2027"/>
    <n v="1911"/>
    <n v="-5.722742969906266"/>
  </r>
  <r>
    <x v="0"/>
    <s v="Electric"/>
    <x v="105"/>
    <x v="1"/>
    <n v="91338"/>
    <n v="36526"/>
    <n v="2027.485824"/>
    <n v="1960.5753599999998"/>
    <n v="-3.3001692642167746"/>
    <n v="54408.21"/>
    <n v="45311"/>
    <n v="-16.720289088723927"/>
    <n v="3291"/>
    <n v="3025"/>
    <n v="-8.08264965056214"/>
  </r>
  <r>
    <x v="2"/>
    <s v="Electric"/>
    <x v="106"/>
    <x v="2"/>
    <n v="227015"/>
    <n v="36526"/>
    <n v="2411.48928"/>
    <n v="2548.9881600000003"/>
    <n v="5.701824227060232"/>
    <n v="58541.08"/>
    <n v="52948.64"/>
    <n v="-9.553018154089402"/>
    <n v="2861"/>
    <n v="2946"/>
    <n v="2.9709891646277526"/>
  </r>
  <r>
    <x v="2"/>
    <s v="Electric"/>
    <x v="107"/>
    <x v="2"/>
    <n v="235889"/>
    <n v="36526"/>
    <n v="3563.776101"/>
    <n v="4041.9271619999995"/>
    <n v="13.41697815600228"/>
    <n v="80536.89"/>
    <n v="75763.79"/>
    <n v="-5.926600840931404"/>
    <n v="3201"/>
    <n v="3162"/>
    <n v="-1.218369259606373"/>
  </r>
  <r>
    <x v="0"/>
    <s v="Electric"/>
    <x v="108"/>
    <x v="2"/>
    <n v="107914"/>
    <n v="36526"/>
    <n v="1796.33016"/>
    <n v="1690.5996000000002"/>
    <n v="-5.885920214132564"/>
    <n v="46808.15"/>
    <n v="41129.31"/>
    <n v="-12.132160745511198"/>
    <n v="2685"/>
    <n v="2857"/>
    <n v="6.405959031657355"/>
  </r>
  <r>
    <x v="3"/>
    <s v="Electric"/>
    <x v="109"/>
    <x v="2"/>
    <n v="19649"/>
    <n v="36526"/>
    <n v="799.4611199999999"/>
    <n v="723.2566400000001"/>
    <n v="-9.531980742227953"/>
    <n v="17754.27"/>
    <n v="14226.83"/>
    <n v="-19.868121865894796"/>
    <n v="727"/>
    <n v="718"/>
    <n v="-1.2379642365887207"/>
  </r>
  <r>
    <x v="2"/>
    <s v="Electric"/>
    <x v="110"/>
    <x v="1"/>
    <n v="194432"/>
    <n v="36526"/>
    <n v="4022.316064"/>
    <n v="3901.4401029999995"/>
    <n v="-3.005133338025031"/>
    <n v="94476.1"/>
    <n v="78284.27"/>
    <n v="-17.138546150825448"/>
    <n v="4517"/>
    <n v="3658"/>
    <n v="-19.017046712419745"/>
  </r>
  <r>
    <x v="0"/>
    <s v="Electric"/>
    <x v="111"/>
    <x v="0"/>
    <n v="101727"/>
    <n v="36526"/>
    <n v="1999.069186"/>
    <n v="2081.168901"/>
    <n v="4.106897128671957"/>
    <n v="51195.31"/>
    <n v="45226.23"/>
    <n v="-11.659427396767398"/>
    <n v="2646"/>
    <n v="2540"/>
    <n v="-4.00604686318972"/>
  </r>
  <r>
    <x v="2"/>
    <s v="Electric"/>
    <x v="112"/>
    <x v="0"/>
    <n v="208340"/>
    <n v="36526"/>
    <n v="3237.134936"/>
    <n v="3635.1214529999997"/>
    <n v="12.294406160645751"/>
    <n v="81536.01"/>
    <n v="71418.41"/>
    <n v="-12.408750440449564"/>
    <n v="5152"/>
    <n v="3429"/>
    <n v="-33.44332298136646"/>
  </r>
  <r>
    <x v="0"/>
    <s v="Electric"/>
    <x v="113"/>
    <x v="1"/>
    <n v="98490"/>
    <n v="36526"/>
    <n v="2038.4790970000001"/>
    <n v="1992.4991609999997"/>
    <n v="-2.2556000729989556"/>
    <n v="53997.58"/>
    <n v="44063.81"/>
    <n v="-18.3966948148417"/>
    <n v="2772"/>
    <n v="2679"/>
    <n v="-3.354978354978355"/>
  </r>
  <r>
    <x v="0"/>
    <s v="Electric"/>
    <x v="114"/>
    <x v="2"/>
    <n v="99987"/>
    <n v="36526"/>
    <n v="1168.822806"/>
    <n v="1268.755446"/>
    <n v="8.549853706396618"/>
    <n v="28428.28"/>
    <n v="25278.13"/>
    <n v="-11.081043242855353"/>
    <n v="1352"/>
    <n v="1297"/>
    <n v="-4.068047337278106"/>
  </r>
  <r>
    <x v="2"/>
    <s v="Electric"/>
    <x v="115"/>
    <x v="0"/>
    <n v="217165"/>
    <n v="36526"/>
    <n v="3934.06271"/>
    <n v="3317.384805"/>
    <n v="-15.675345068406395"/>
    <n v="86359.11"/>
    <n v="70718.52"/>
    <n v="-18.11110605470575"/>
    <n v="3205"/>
    <n v="3986"/>
    <n v="24.36817472698908"/>
  </r>
  <r>
    <x v="0"/>
    <s v="Electric"/>
    <x v="116"/>
    <x v="2"/>
    <n v="122878"/>
    <n v="36526"/>
    <n v="2188.68864"/>
    <n v="1785.62016"/>
    <n v="-18.415980813058898"/>
    <n v="53325.89"/>
    <n v="43520.44"/>
    <n v="-18.387784995243397"/>
    <n v="2562"/>
    <n v="3033"/>
    <n v="18.384074941451992"/>
  </r>
  <r>
    <x v="3"/>
    <s v="Electric"/>
    <x v="117"/>
    <x v="2"/>
    <n v="20124"/>
    <n v="36526"/>
    <n v="188.06995199999997"/>
    <n v="230.66419199999996"/>
    <n v="22.648083623693378"/>
    <n v="4585.13"/>
    <n v="4552.8"/>
    <n v="-0.7051054168584097"/>
    <n v="200"/>
    <n v="218"/>
    <n v="9"/>
  </r>
  <r>
    <x v="3"/>
    <s v="Electric"/>
    <x v="118"/>
    <x v="2"/>
    <n v="45340"/>
    <n v="36526"/>
    <n v="940.3497600000001"/>
    <n v="899.15636"/>
    <n v="-4.380646622380178"/>
    <n v="21062.39"/>
    <n v="17433.48"/>
    <n v="-17.229336271904565"/>
    <n v="861"/>
    <n v="841"/>
    <n v="-2.3228803716608595"/>
  </r>
  <r>
    <x v="0"/>
    <s v="Electric"/>
    <x v="119"/>
    <x v="0"/>
    <n v="89993"/>
    <n v="36526"/>
    <n v="2176.2380160000002"/>
    <n v="1444.8744"/>
    <n v="-33.606784304975584"/>
    <n v="49054.37"/>
    <n v="32824.38"/>
    <n v="-33.08571693001052"/>
    <n v="2010"/>
    <n v="2109"/>
    <n v="4.925373134328359"/>
  </r>
  <r>
    <x v="0"/>
    <s v="Electric"/>
    <x v="120"/>
    <x v="0"/>
    <n v="84992"/>
    <n v="36526"/>
    <n v="1465.2418559999999"/>
    <n v="1435.69536"/>
    <n v="-2.0164927639085986"/>
    <n v="41397.19"/>
    <n v="35196.47"/>
    <n v="-14.978601204574513"/>
    <n v="2727"/>
    <n v="2537"/>
    <n v="-6.967363403006967"/>
  </r>
  <r>
    <x v="1"/>
    <s v="Electric"/>
    <x v="121"/>
    <x v="0"/>
    <n v="41975"/>
    <n v="36526"/>
    <n v="1624.4787840000001"/>
    <n v="1313.1648"/>
    <n v="-19.163930429023075"/>
    <n v="39119.29"/>
    <n v="27360.32"/>
    <n v="-30.059262323012508"/>
    <n v="1953"/>
    <n v="1523"/>
    <n v="-22.017409114183305"/>
  </r>
  <r>
    <x v="1"/>
    <s v="Electric"/>
    <x v="122"/>
    <x v="0"/>
    <n v="50022"/>
    <n v="36526"/>
    <n v="1060.9242239999999"/>
    <n v="1089.0633599999999"/>
    <n v="2.6523228863515893"/>
    <n v="30302.44"/>
    <n v="27105.36"/>
    <n v="-10.55056952509435"/>
    <n v="2044"/>
    <n v="1991"/>
    <n v="-2.592954990215264"/>
  </r>
  <r>
    <x v="0"/>
    <s v="Electric"/>
    <x v="123"/>
    <x v="2"/>
    <n v="115438"/>
    <n v="36526"/>
    <n v="1838.1052800000002"/>
    <n v="1673.40384"/>
    <n v="-8.960392083743988"/>
    <n v="44574.98"/>
    <n v="41349.18"/>
    <n v="-7.2367951707437665"/>
    <n v="2915"/>
    <n v="2973"/>
    <n v="1.9897084048027442"/>
  </r>
  <r>
    <x v="0"/>
    <s v="Electric"/>
    <x v="124"/>
    <x v="0"/>
    <n v="81794"/>
    <n v="36526"/>
    <n v="1586.4716159999998"/>
    <n v="1701.406656"/>
    <n v="7.244695640366261"/>
    <n v="44789.18"/>
    <n v="40312.07"/>
    <n v="-9.995963310781756"/>
    <n v="2929"/>
    <n v="2687"/>
    <n v="-8.262205530897917"/>
  </r>
  <r>
    <x v="0"/>
    <s v="Electric"/>
    <x v="0"/>
    <x v="0"/>
    <n v="109321"/>
    <n v="36526"/>
    <n v="1769.2992000000002"/>
    <n v="1729.47456"/>
    <n v="-2.250870853273436"/>
    <n v="46248.07"/>
    <n v="39705.12"/>
    <n v="-14.147509290657968"/>
    <n v="2801"/>
    <n v="2714"/>
    <n v="-3.1060335594430564"/>
  </r>
  <r>
    <x v="1"/>
    <s v="Electric"/>
    <x v="1"/>
    <x v="0"/>
    <n v="56061"/>
    <n v="36526"/>
    <n v="1269.9636480000001"/>
    <n v="1219.148544"/>
    <n v="-4.001303823146923"/>
    <n v="34370.16"/>
    <n v="28850.1"/>
    <n v="-16.06061769860833"/>
    <n v="2064"/>
    <n v="2108"/>
    <n v="2.131782945736434"/>
  </r>
  <r>
    <x v="1"/>
    <s v="Electric"/>
    <x v="2"/>
    <x v="1"/>
    <n v="50839"/>
    <n v="36526"/>
    <n v="754.2456959999998"/>
    <n v="903.060864"/>
    <n v="19.73033042007576"/>
    <n v="20961.73"/>
    <n v="19896.33"/>
    <n v="-5.082595759033248"/>
    <n v="1313"/>
    <n v="1236"/>
    <n v="-5.864432597105864"/>
  </r>
  <r>
    <x v="0"/>
    <s v="Electric"/>
    <x v="3"/>
    <x v="2"/>
    <n v="107836"/>
    <n v="36526"/>
    <n v="1914.1196159999997"/>
    <n v="1764.850176"/>
    <n v="-7.798333957411359"/>
    <n v="49608.6"/>
    <n v="39372.89"/>
    <n v="-20.632934612143863"/>
    <n v="2668"/>
    <n v="2488"/>
    <n v="-6.746626686656672"/>
  </r>
  <r>
    <x v="2"/>
    <s v="Electric"/>
    <x v="4"/>
    <x v="2"/>
    <n v="244123"/>
    <n v="36526"/>
    <n v="2974.521651"/>
    <n v="2975.5096639999997"/>
    <n v="0.03321586177285885"/>
    <n v="73862.06"/>
    <n v="67876"/>
    <n v="-8.10437726757147"/>
    <n v="5205"/>
    <n v="5041"/>
    <n v="-3.1508165225744476"/>
  </r>
  <r>
    <x v="2"/>
    <s v="Electric"/>
    <x v="5"/>
    <x v="0"/>
    <n v="219821"/>
    <n v="36526"/>
    <n v="3640.4627979999996"/>
    <n v="3560.9338000000002"/>
    <n v="-2.1845848292610284"/>
    <n v="102045.19"/>
    <n v="77924.87"/>
    <n v="-23.63690047517183"/>
    <n v="5353"/>
    <n v="5020"/>
    <n v="-6.2208107603213145"/>
  </r>
  <r>
    <x v="2"/>
    <s v="Electric"/>
    <x v="6"/>
    <x v="2"/>
    <n v="211238"/>
    <n v="36526"/>
    <n v="3876.8096349999996"/>
    <n v="3911.0732399999997"/>
    <n v="0.883809323281361"/>
    <n v="85806.04"/>
    <n v="73605.47"/>
    <n v="-14.218777605865506"/>
    <n v="3237"/>
    <n v="3227"/>
    <n v="-0.3089280197713933"/>
  </r>
  <r>
    <x v="0"/>
    <s v="Electric"/>
    <x v="7"/>
    <x v="2"/>
    <n v="89416"/>
    <n v="36526"/>
    <n v="1263.4106880000002"/>
    <n v="876.5291519999998"/>
    <n v="-30.62199328172853"/>
    <n v="34380.01"/>
    <n v="21949.08"/>
    <n v="-36.15743567264815"/>
    <n v="1939"/>
    <n v="1433"/>
    <n v="-26.095925734914903"/>
  </r>
  <r>
    <x v="0"/>
    <s v="Electric"/>
    <x v="8"/>
    <x v="0"/>
    <n v="106804"/>
    <n v="36526"/>
    <n v="1772.57568"/>
    <n v="1600.4190720000001"/>
    <n v="-9.712228930050525"/>
    <n v="46655.61"/>
    <n v="38640.24"/>
    <n v="-17.17986325760182"/>
    <n v="2736"/>
    <n v="2632"/>
    <n v="-3.801169590643275"/>
  </r>
  <r>
    <x v="0"/>
    <s v="Electric"/>
    <x v="9"/>
    <x v="0"/>
    <n v="85320"/>
    <n v="36526"/>
    <n v="1317.1449599999999"/>
    <n v="1124.158464"/>
    <n v="-14.651879774873056"/>
    <n v="36877.97"/>
    <n v="27797.1"/>
    <n v="-24.62410485175838"/>
    <n v="2374"/>
    <n v="1852"/>
    <n v="-21.988205560235887"/>
  </r>
  <r>
    <x v="3"/>
    <s v="Electric"/>
    <x v="10"/>
    <x v="0"/>
    <n v="22677"/>
    <n v="36526"/>
    <n v="646.449504"/>
    <n v="533.254656"/>
    <n v="-17.510238201064514"/>
    <n v="15020.13"/>
    <n v="10970.8"/>
    <n v="-26.9593538804258"/>
    <n v="725"/>
    <n v="647"/>
    <n v="-10.758620689655173"/>
  </r>
  <r>
    <x v="3"/>
    <s v="Electric"/>
    <x v="11"/>
    <x v="2"/>
    <n v="491434"/>
    <n v="36526"/>
    <n v="8239.022956"/>
    <n v="8978.732592"/>
    <n v="8.978123255031248"/>
    <n v="201828.77"/>
    <n v="179123.9"/>
    <n v="-11.249570613743522"/>
    <n v="8421"/>
    <n v="8480"/>
    <n v="0.7006293789336183"/>
  </r>
  <r>
    <x v="0"/>
    <s v="Electric"/>
    <x v="12"/>
    <x v="0"/>
    <n v="106488"/>
    <n v="36526"/>
    <n v="2296.1571839999997"/>
    <n v="2049.820416"/>
    <n v="-10.728218856989184"/>
    <n v="59192.48"/>
    <n v="45375.4"/>
    <n v="-23.342627306711933"/>
    <n v="3521"/>
    <n v="3044"/>
    <n v="-13.547287702357284"/>
  </r>
  <r>
    <x v="0"/>
    <s v="Electric"/>
    <x v="13"/>
    <x v="2"/>
    <n v="97384"/>
    <n v="36526"/>
    <n v="1611.4820799999998"/>
    <n v="1492.326912"/>
    <n v="-7.39413546565779"/>
    <n v="42188.8"/>
    <n v="35228.02"/>
    <n v="-16.499118249393206"/>
    <n v="2504"/>
    <n v="2377"/>
    <n v="-5.0718849840255595"/>
  </r>
  <r>
    <x v="2"/>
    <s v="Electric"/>
    <x v="14"/>
    <x v="0"/>
    <n v="229363"/>
    <n v="36526"/>
    <n v="3610.1519449999996"/>
    <n v="3209.08836"/>
    <n v="-11.109327006456503"/>
    <n v="94721.96"/>
    <n v="70275.77"/>
    <n v="-25.808365874185878"/>
    <n v="4071"/>
    <n v="3568"/>
    <n v="-12.355686563497912"/>
  </r>
  <r>
    <x v="3"/>
    <s v="Electric"/>
    <x v="15"/>
    <x v="2"/>
    <n v="18144"/>
    <n v="36526"/>
    <n v="884.9772479999999"/>
    <n v="908.629248"/>
    <n v="2.672611081635397"/>
    <n v="18483.95"/>
    <n v="16435.45"/>
    <n v="-11.0825878667709"/>
    <n v="624"/>
    <n v="740"/>
    <n v="18.589743589743588"/>
  </r>
  <r>
    <x v="4"/>
    <s v="Electric"/>
    <x v="16"/>
    <x v="2"/>
    <n v="573468"/>
    <n v="36526"/>
    <n v="7222.518927"/>
    <n v="7855.901395999998"/>
    <n v="8.76955083678937"/>
    <n v="179611.76"/>
    <n v="174959.02"/>
    <n v="-2.5904428529624117"/>
    <n v="11135"/>
    <n v="11296"/>
    <n v="1.44589133363269"/>
  </r>
  <r>
    <x v="2"/>
    <s v="Electric"/>
    <x v="17"/>
    <x v="0"/>
    <n v="233575"/>
    <n v="36526"/>
    <n v="4960.246007"/>
    <n v="4198.196451999999"/>
    <n v="-15.363140334664463"/>
    <n v="130413.13"/>
    <n v="92934.84"/>
    <n v="-28.738126291424795"/>
    <n v="5995"/>
    <n v="5003"/>
    <n v="-16.547122602168475"/>
  </r>
  <r>
    <x v="3"/>
    <s v="Electric"/>
    <x v="18"/>
    <x v="0"/>
    <n v="49471"/>
    <n v="36526"/>
    <n v="5342.655592"/>
    <n v="5870.663316"/>
    <n v="9.882870323713732"/>
    <n v="115565.41"/>
    <n v="109984.3"/>
    <n v="-4.82939488554577"/>
    <n v="3926"/>
    <n v="4438"/>
    <n v="13.041263372389201"/>
  </r>
  <r>
    <x v="2"/>
    <s v="Electric"/>
    <x v="19"/>
    <x v="0"/>
    <n v="204629"/>
    <n v="36526"/>
    <n v="2974.9448629999997"/>
    <n v="3180.485564"/>
    <n v="6.9090591747212535"/>
    <n v="73631.2"/>
    <n v="69127.49"/>
    <n v="-6.116578298330056"/>
    <n v="4201"/>
    <n v="4210"/>
    <n v="0.2142347060223756"/>
  </r>
  <r>
    <x v="0"/>
    <s v="Electric"/>
    <x v="20"/>
    <x v="0"/>
    <n v="86318"/>
    <n v="36526"/>
    <n v="1497.023712"/>
    <n v="1513.29024"/>
    <n v="1.086591205577384"/>
    <n v="41885.49"/>
    <n v="36250.72"/>
    <n v="-13.452797138102001"/>
    <n v="2739"/>
    <n v="2630"/>
    <n v="-3.9795545819642206"/>
  </r>
  <r>
    <x v="4"/>
    <s v="Electric"/>
    <x v="21"/>
    <x v="0"/>
    <n v="525576"/>
    <n v="36526"/>
    <n v="8506.820588"/>
    <n v="8806.856504000001"/>
    <n v="3.527004159735567"/>
    <n v="237804.56"/>
    <n v="187227.75"/>
    <n v="-21.268225470529245"/>
    <n v="10693"/>
    <n v="10036"/>
    <n v="-6.144206490227251"/>
  </r>
  <r>
    <x v="3"/>
    <s v="Electric"/>
    <x v="22"/>
    <x v="2"/>
    <n v="0"/>
    <n v="36526"/>
    <n v="4.225294"/>
    <n v="2.262156"/>
    <n v="-46.461571668149"/>
    <n v="741.27"/>
    <n v="575.5"/>
    <n v="-22.362971656751252"/>
    <n v="86"/>
    <n v="71"/>
    <n v="-17.441860465116278"/>
  </r>
  <r>
    <x v="4"/>
    <s v="Electric"/>
    <x v="23"/>
    <x v="2"/>
    <n v="489057"/>
    <n v="36526"/>
    <n v="9341.428781999999"/>
    <n v="9659.139984000001"/>
    <n v="3.4010985836791923"/>
    <n v="217241.63"/>
    <n v="185562.89"/>
    <n v="-14.582260315391668"/>
    <n v="11025"/>
    <n v="10824"/>
    <n v="-1.8231292517006805"/>
  </r>
  <r>
    <x v="3"/>
    <s v="Electric"/>
    <x v="24"/>
    <x v="2"/>
    <n v="0"/>
    <n v="36526"/>
    <n v="72.08256"/>
    <n v="93.67987199999999"/>
    <n v="29.961910342806917"/>
    <n v="7320.41"/>
    <n v="9884.69"/>
    <n v="35.02918552376165"/>
    <n v="945"/>
    <n v="1375"/>
    <n v="45.5026455026455"/>
  </r>
  <r>
    <x v="4"/>
    <s v="Electric"/>
    <x v="25"/>
    <x v="0"/>
    <n v="578719"/>
    <n v="36526"/>
    <n v="11640.940945000002"/>
    <n v="7193.082864000001"/>
    <n v="-38.2087504954695"/>
    <n v="259668.49"/>
    <n v="129603.49"/>
    <n v="-50.08886522966263"/>
    <n v="8060"/>
    <n v="4788"/>
    <n v="-40.5955334987593"/>
  </r>
  <r>
    <x v="4"/>
    <s v="Electric"/>
    <x v="26"/>
    <x v="1"/>
    <n v="520212"/>
    <n v="36526"/>
    <n v="9423.784472"/>
    <n v="9357.846736"/>
    <n v="-0.699694864583494"/>
    <n v="218545.2"/>
    <n v="187534.91"/>
    <n v="-14.189417109138065"/>
    <n v="9483"/>
    <n v="10198"/>
    <n v="7.5398080776125695"/>
  </r>
  <r>
    <x v="4"/>
    <s v="Electric"/>
    <x v="27"/>
    <x v="2"/>
    <n v="590057"/>
    <n v="36526"/>
    <n v="8177.725476"/>
    <n v="8442.407136"/>
    <n v="3.23661708597076"/>
    <n v="191401.76"/>
    <n v="190889.73"/>
    <n v="-0.2675158263957447"/>
    <n v="12961"/>
    <n v="13567"/>
    <n v="4.67556515700949"/>
  </r>
  <r>
    <x v="4"/>
    <s v="Electric"/>
    <x v="28"/>
    <x v="2"/>
    <n v="530203"/>
    <n v="36526"/>
    <n v="10234.344668"/>
    <n v="10259.587156"/>
    <n v="0.2466448885479396"/>
    <n v="310948.3"/>
    <n v="256615.94"/>
    <n v="-17.4731169136477"/>
    <n v="18538"/>
    <n v="19365"/>
    <n v="4.461106915524868"/>
  </r>
  <r>
    <x v="4"/>
    <s v="Electric"/>
    <x v="29"/>
    <x v="0"/>
    <n v="497661"/>
    <n v="36526"/>
    <n v="8745.822739000001"/>
    <n v="8357.574579999999"/>
    <n v="-4.439241116432621"/>
    <n v="214640.83"/>
    <n v="174722.72"/>
    <n v="-18.597631214899792"/>
    <n v="9388"/>
    <n v="9572"/>
    <n v="1.95994887089902"/>
  </r>
  <r>
    <x v="4"/>
    <s v="Electric"/>
    <x v="30"/>
    <x v="2"/>
    <n v="477795"/>
    <n v="36526"/>
    <n v="8827.318352999999"/>
    <n v="8330.814264"/>
    <n v="-5.624631050394374"/>
    <n v="226416.7"/>
    <n v="178420.11"/>
    <n v="-21.198343585080075"/>
    <n v="10409"/>
    <n v="9111"/>
    <n v="-12.469977903737151"/>
  </r>
  <r>
    <x v="4"/>
    <s v="Electric"/>
    <x v="31"/>
    <x v="2"/>
    <n v="535914"/>
    <n v="36526"/>
    <n v="6216.5405900000005"/>
    <n v="6052.372788"/>
    <n v="-2.640822489988767"/>
    <n v="143285.3"/>
    <n v="117347.4"/>
    <n v="-18.102275669590668"/>
    <n v="6399"/>
    <n v="6624"/>
    <n v="3.5161744022503516"/>
  </r>
  <r>
    <x v="0"/>
    <s v="Electric"/>
    <x v="32"/>
    <x v="0"/>
    <n v="99588"/>
    <n v="36526"/>
    <n v="1726.623048"/>
    <n v="1745.043516"/>
    <n v="1.0668494215536566"/>
    <n v="43580.86"/>
    <n v="40158"/>
    <n v="-7.854044183616386"/>
    <n v="2590"/>
    <n v="2264"/>
    <n v="-12.586872586872587"/>
  </r>
  <r>
    <x v="2"/>
    <s v="Electric"/>
    <x v="33"/>
    <x v="0"/>
    <n v="213572"/>
    <n v="36526"/>
    <n v="3997.035973000001"/>
    <n v="3724.515316"/>
    <n v="-6.818068659898971"/>
    <n v="102690.72"/>
    <n v="82807.09"/>
    <n v="-19.36263568898923"/>
    <n v="4841"/>
    <n v="4685"/>
    <n v="-3.222474695310886"/>
  </r>
  <r>
    <x v="0"/>
    <s v="Electric"/>
    <x v="34"/>
    <x v="1"/>
    <n v="97959"/>
    <n v="36526"/>
    <n v="1515.0443520000001"/>
    <n v="1399.302144"/>
    <n v="-7.639526053954103"/>
    <n v="41526.81"/>
    <n v="34071.06"/>
    <n v="-17.95406389269968"/>
    <n v="2646"/>
    <n v="2483"/>
    <n v="-6.160241874527588"/>
  </r>
  <r>
    <x v="3"/>
    <s v="Electric"/>
    <x v="35"/>
    <x v="0"/>
    <n v="6832"/>
    <n v="36526"/>
    <n v="140.88864"/>
    <n v="117.50928000000002"/>
    <n v="-16.59421227999644"/>
    <n v="3986.65"/>
    <n v="3087.76"/>
    <n v="-22.547502288889167"/>
    <n v="233"/>
    <n v="225"/>
    <n v="-3.433476394849785"/>
  </r>
  <r>
    <x v="3"/>
    <s v="Electric"/>
    <x v="36"/>
    <x v="0"/>
    <n v="4573"/>
    <n v="36526"/>
    <n v="96.66981200000001"/>
    <n v="73.143044"/>
    <n v="-24.337243978502826"/>
    <n v="3397.66"/>
    <n v="2438.99"/>
    <n v="-28.21559543921405"/>
    <n v="218"/>
    <n v="211"/>
    <n v="-3.211009174311927"/>
  </r>
  <r>
    <x v="3"/>
    <s v="Electric"/>
    <x v="37"/>
    <x v="0"/>
    <n v="26451"/>
    <n v="36526"/>
    <n v="1125.143232"/>
    <n v="1057.9929599999998"/>
    <n v="-5.968153217314124"/>
    <n v="24497.16"/>
    <n v="20245.27"/>
    <n v="-17.356665017495903"/>
    <n v="1018"/>
    <n v="1033"/>
    <n v="1.4734774066797645"/>
  </r>
  <r>
    <x v="0"/>
    <s v="Electric"/>
    <x v="38"/>
    <x v="1"/>
    <n v="95366"/>
    <n v="36526"/>
    <n v="1376.1216"/>
    <n v="1351.152"/>
    <n v="-1.8144908124398247"/>
    <n v="38852.34"/>
    <n v="26211.27"/>
    <n v="-32.536187009585525"/>
    <n v="2578"/>
    <n v="2397"/>
    <n v="-7.020946470131885"/>
  </r>
  <r>
    <x v="0"/>
    <s v="Electric"/>
    <x v="39"/>
    <x v="0"/>
    <n v="76544"/>
    <n v="36526"/>
    <n v="1249.649472"/>
    <n v="1091.403264"/>
    <n v="-12.663247698311347"/>
    <n v="34125.61"/>
    <n v="27725.86"/>
    <n v="-18.753510926251575"/>
    <n v="1857"/>
    <n v="2026"/>
    <n v="9.100700053850296"/>
  </r>
  <r>
    <x v="3"/>
    <s v="Electric"/>
    <x v="40"/>
    <x v="2"/>
    <n v="70662"/>
    <n v="36526"/>
    <n v="1638.24"/>
    <n v="1470.70848"/>
    <n v="-10.226311163199533"/>
    <n v="36003.61"/>
    <n v="28781.12"/>
    <n v="-20.060460603811674"/>
    <n v="1464"/>
    <n v="1563"/>
    <n v="6.762295081967213"/>
  </r>
  <r>
    <x v="3"/>
    <s v="Electric"/>
    <x v="41"/>
    <x v="2"/>
    <n v="33198"/>
    <n v="36526"/>
    <n v="467.847214"/>
    <n v="428.10705199999995"/>
    <n v="-8.494260692551661"/>
    <n v="9915.8"/>
    <n v="7846.75"/>
    <n v="-20.866193347990073"/>
    <n v="375"/>
    <n v="351"/>
    <n v="-6.4"/>
  </r>
  <r>
    <x v="3"/>
    <s v="Electric"/>
    <x v="42"/>
    <x v="0"/>
    <n v="0"/>
    <n v="36526"/>
    <n v="1349.5821119999998"/>
    <n v="1215.545472"/>
    <n v="-9.93171432906484"/>
    <n v="30387.01"/>
    <n v="23218.94"/>
    <n v="-23.589257383335838"/>
    <n v="1258"/>
    <n v="1145"/>
    <n v="-8.982511923688394"/>
  </r>
  <r>
    <x v="0"/>
    <s v="Electric"/>
    <x v="43"/>
    <x v="2"/>
    <n v="95036"/>
    <n v="36526"/>
    <n v="2028.14112"/>
    <n v="1742.5766400000002"/>
    <n v="-14.080108981765518"/>
    <n v="54605.86"/>
    <n v="42369.48"/>
    <n v="-22.40854736103414"/>
    <n v="3277"/>
    <n v="3220"/>
    <n v="-1.739395788831248"/>
  </r>
  <r>
    <x v="0"/>
    <s v="Electric"/>
    <x v="44"/>
    <x v="0"/>
    <n v="91621"/>
    <n v="36526"/>
    <n v="1451.808288"/>
    <n v="1279.418112"/>
    <n v="-11.874169435792608"/>
    <n v="38451.4"/>
    <n v="29576.17"/>
    <n v="-23.081682331462574"/>
    <n v="2221"/>
    <n v="1857"/>
    <n v="-16.389013957676724"/>
  </r>
  <r>
    <x v="3"/>
    <s v="Electric"/>
    <x v="45"/>
    <x v="0"/>
    <n v="57684"/>
    <n v="36526"/>
    <n v="7536.405710999999"/>
    <n v="6336.687924000001"/>
    <n v="-15.918964994797362"/>
    <n v="166115.41"/>
    <n v="120857.46"/>
    <n v="-27.244883542110873"/>
    <n v="4414"/>
    <n v="4043"/>
    <n v="-8.405074762120526"/>
  </r>
  <r>
    <x v="3"/>
    <s v="Electric"/>
    <x v="46"/>
    <x v="0"/>
    <n v="49742"/>
    <n v="36526"/>
    <n v="1091.06784"/>
    <n v="1133.6574719999999"/>
    <n v="3.9034815653626076"/>
    <n v="25373.6"/>
    <n v="22059.82"/>
    <n v="-13.05995207617366"/>
    <n v="1037"/>
    <n v="1079"/>
    <n v="4.050144648023144"/>
  </r>
  <r>
    <x v="0"/>
    <s v="Electric"/>
    <x v="47"/>
    <x v="0"/>
    <n v="90518"/>
    <n v="36526"/>
    <n v="1649.380032"/>
    <n v="1515.255552"/>
    <n v="-8.131811795815413"/>
    <n v="45511.94"/>
    <n v="35912.13"/>
    <n v="-21.092948355969884"/>
    <n v="2740"/>
    <n v="2497"/>
    <n v="-8.86861313868613"/>
  </r>
  <r>
    <x v="0"/>
    <s v="Electric"/>
    <x v="48"/>
    <x v="0"/>
    <n v="85844"/>
    <n v="36526"/>
    <n v="1794.644138"/>
    <n v="1690.9428439999997"/>
    <n v="-5.778376437100665"/>
    <n v="48426.93"/>
    <n v="39691.92"/>
    <n v="-18.03750516499807"/>
    <n v="2867"/>
    <n v="2750"/>
    <n v="-4.080920823160098"/>
  </r>
  <r>
    <x v="0"/>
    <s v="Electric"/>
    <x v="49"/>
    <x v="0"/>
    <n v="91424"/>
    <n v="36526"/>
    <n v="1799.770464"/>
    <n v="1756.988928"/>
    <n v="-2.377055122069161"/>
    <n v="45747.49"/>
    <n v="38118.43"/>
    <n v="-16.676455910477276"/>
    <n v="2563"/>
    <n v="2408"/>
    <n v="-6.047600468201327"/>
  </r>
  <r>
    <x v="2"/>
    <s v="Electric"/>
    <x v="50"/>
    <x v="2"/>
    <n v="218801"/>
    <n v="36526"/>
    <n v="3108.608182"/>
    <n v="3189.302172"/>
    <n v="2.5958237666377073"/>
    <n v="83150.41"/>
    <n v="67924.95"/>
    <n v="-18.310745551344848"/>
    <n v="4560"/>
    <n v="4306"/>
    <n v="-5.570175438596491"/>
  </r>
  <r>
    <x v="0"/>
    <s v="Electric"/>
    <x v="51"/>
    <x v="0"/>
    <n v="85052"/>
    <n v="36526"/>
    <n v="1593.679872"/>
    <n v="1439.9185919999998"/>
    <n v="-9.648191126806191"/>
    <n v="41999.8"/>
    <n v="33565.93"/>
    <n v="-20.080738479707048"/>
    <n v="2499"/>
    <n v="2334"/>
    <n v="-6.602641056422569"/>
  </r>
  <r>
    <x v="0"/>
    <s v="Electric"/>
    <x v="52"/>
    <x v="2"/>
    <n v="85650"/>
    <n v="36526"/>
    <n v="1134.317376"/>
    <n v="1047.511296"/>
    <n v="-7.652715354331303"/>
    <n v="33294.24"/>
    <n v="26171.44"/>
    <n v="-21.393490285406724"/>
    <n v="2047"/>
    <n v="1824"/>
    <n v="-10.893991206643868"/>
  </r>
  <r>
    <x v="2"/>
    <s v="Electric"/>
    <x v="53"/>
    <x v="2"/>
    <n v="192751"/>
    <n v="36526"/>
    <n v="3537.7383239999995"/>
    <n v="3591.938644"/>
    <n v="1.5320613068610913"/>
    <n v="92144.94"/>
    <n v="74955.03"/>
    <n v="-18.655294582643386"/>
    <n v="4273"/>
    <n v="4070"/>
    <n v="-4.75076058974959"/>
  </r>
  <r>
    <x v="0"/>
    <s v="Electric"/>
    <x v="54"/>
    <x v="0"/>
    <n v="88795"/>
    <n v="36526"/>
    <n v="1691.646624"/>
    <n v="1549.6485119999998"/>
    <n v="-8.394076516065583"/>
    <n v="47990.21"/>
    <n v="37420.06"/>
    <n v="-22.02563814578015"/>
    <n v="3002"/>
    <n v="2618"/>
    <n v="-12.79147235176549"/>
  </r>
  <r>
    <x v="0"/>
    <s v="Electric"/>
    <x v="55"/>
    <x v="1"/>
    <n v="96483"/>
    <n v="36526"/>
    <n v="1353.841536"/>
    <n v="1354.099968"/>
    <n v="0.01908879238286495"/>
    <n v="39064.59"/>
    <n v="34730.18"/>
    <n v="-11.095495946584874"/>
    <n v="2568"/>
    <n v="2580"/>
    <n v="0.4672897196261683"/>
  </r>
  <r>
    <x v="0"/>
    <s v="Electric"/>
    <x v="56"/>
    <x v="0"/>
    <n v="99937"/>
    <n v="36526"/>
    <n v="1686.076608"/>
    <n v="1625.9681280000002"/>
    <n v="-3.564991039837733"/>
    <n v="50654.19"/>
    <n v="40422.38"/>
    <n v="-20.199335928577675"/>
    <n v="3259"/>
    <n v="2734"/>
    <n v="-16.10923596195152"/>
  </r>
  <r>
    <x v="0"/>
    <s v="Electric"/>
    <x v="57"/>
    <x v="0"/>
    <n v="81704"/>
    <n v="36526"/>
    <n v="1121.8667520000001"/>
    <n v="1027.8581759999997"/>
    <n v="-8.379656125150976"/>
    <n v="31631.82"/>
    <n v="25633.03"/>
    <n v="-18.9644162112708"/>
    <n v="1826"/>
    <n v="1670"/>
    <n v="-8.543263964950713"/>
  </r>
  <r>
    <x v="0"/>
    <s v="Electric"/>
    <x v="58"/>
    <x v="1"/>
    <n v="112519"/>
    <n v="36526"/>
    <n v="1373.66424"/>
    <n v="1262.71296"/>
    <n v="-8.077030526761037"/>
    <n v="37675.82"/>
    <n v="31533.18"/>
    <n v="-16.303931805598392"/>
    <n v="2195"/>
    <n v="2341"/>
    <n v="6.651480637813211"/>
  </r>
  <r>
    <x v="2"/>
    <s v="Electric"/>
    <x v="59"/>
    <x v="2"/>
    <n v="226178"/>
    <n v="36526"/>
    <n v="3475.9732630000003"/>
    <n v="3539.5303240000003"/>
    <n v="1.8284680632193948"/>
    <n v="95407.2"/>
    <n v="83863.71"/>
    <n v="-12.099181193872163"/>
    <n v="5134"/>
    <n v="4682"/>
    <n v="-8.804051421893261"/>
  </r>
  <r>
    <x v="0"/>
    <s v="Electric"/>
    <x v="60"/>
    <x v="0"/>
    <n v="87881"/>
    <n v="36526"/>
    <n v="1595.64576"/>
    <n v="1508.049408"/>
    <n v="-5.48971170142425"/>
    <n v="41250.33"/>
    <n v="34892.53"/>
    <n v="-15.412725183047021"/>
    <n v="2429"/>
    <n v="2500"/>
    <n v="2.9230135858377935"/>
  </r>
  <r>
    <x v="3"/>
    <s v="Electric"/>
    <x v="61"/>
    <x v="0"/>
    <n v="132467"/>
    <n v="36526"/>
    <n v="968.19984"/>
    <n v="965.2548000000002"/>
    <n v="-0.3041768732372299"/>
    <n v="24245.97"/>
    <n v="21061.17"/>
    <n v="-13.135378786660217"/>
    <n v="1311"/>
    <n v="1307"/>
    <n v="-0.30511060259344014"/>
  </r>
  <r>
    <x v="3"/>
    <s v="Electric"/>
    <x v="62"/>
    <x v="0"/>
    <n v="0"/>
    <n v="36526"/>
    <n v="990.58912"/>
    <n v="973.3753599999999"/>
    <n v="-1.737729564403053"/>
    <n v="22987.32"/>
    <n v="20074.37"/>
    <n v="-12.671986121044124"/>
    <n v="1036"/>
    <n v="1094"/>
    <n v="5.598455598455598"/>
  </r>
  <r>
    <x v="3"/>
    <s v="Electric"/>
    <x v="63"/>
    <x v="0"/>
    <n v="0"/>
    <n v="36526"/>
    <n v="1637.14784"/>
    <n v="1591.0838400000002"/>
    <n v="-2.813673809690879"/>
    <n v="36694.22"/>
    <n v="30963.9"/>
    <n v="-15.616410431942688"/>
    <n v="1618"/>
    <n v="1617"/>
    <n v="-0.06180469715698393"/>
  </r>
  <r>
    <x v="3"/>
    <s v="Electric"/>
    <x v="64"/>
    <x v="0"/>
    <n v="0"/>
    <n v="36526"/>
    <n v="12.49158"/>
    <n v="12.48792"/>
    <n v="-0.029299736302372113"/>
    <n v="706.6"/>
    <n v="566.16"/>
    <n v="-19.8754599490518"/>
    <n v="0"/>
    <n v="0"/>
    <n v="0"/>
  </r>
  <r>
    <x v="3"/>
    <s v="Electric"/>
    <x v="65"/>
    <x v="0"/>
    <n v="0"/>
    <n v="36526"/>
    <n v="39.31776"/>
    <n v="40.944"/>
    <n v="4.136146108018368"/>
    <n v="1426.15"/>
    <n v="1321.38"/>
    <n v="-7.346352066753147"/>
    <n v="103"/>
    <n v="107"/>
    <n v="3.883495145631068"/>
  </r>
  <r>
    <x v="3"/>
    <s v="Electric"/>
    <x v="66"/>
    <x v="0"/>
    <n v="0"/>
    <n v="36526"/>
    <n v="325.050707"/>
    <n v="357.707256"/>
    <n v="10.046601436864439"/>
    <n v="6490.61"/>
    <n v="6274.08"/>
    <n v="-3.336050078498015"/>
    <n v="163"/>
    <n v="224"/>
    <n v="37.423312883435585"/>
  </r>
  <r>
    <x v="3"/>
    <s v="Electric"/>
    <x v="67"/>
    <x v="0"/>
    <n v="6054"/>
    <n v="36526"/>
    <n v="91.73461400000001"/>
    <n v="124.11149999999999"/>
    <n v="35.29407776218473"/>
    <n v="2404.2"/>
    <n v="2607.06"/>
    <n v="8.43773396556027"/>
    <n v="128"/>
    <n v="143"/>
    <n v="11.71875"/>
  </r>
  <r>
    <x v="3"/>
    <s v="Electric"/>
    <x v="68"/>
    <x v="0"/>
    <n v="35364"/>
    <n v="36526"/>
    <n v="957.3874559999999"/>
    <n v="928.282368"/>
    <n v="-3.0400532007806005"/>
    <n v="25269.41"/>
    <n v="21089.78"/>
    <n v="-16.540275376433403"/>
    <n v="1542"/>
    <n v="1408"/>
    <n v="-8.690012970168613"/>
  </r>
  <r>
    <x v="3"/>
    <s v="Electric"/>
    <x v="69"/>
    <x v="2"/>
    <n v="12152"/>
    <n v="36526"/>
    <n v="4000.704948"/>
    <n v="3651.785124"/>
    <n v="-8.721458556308406"/>
    <n v="145063.66"/>
    <n v="108567.18"/>
    <n v="-25.15894056443909"/>
    <n v="10067"/>
    <n v="10575"/>
    <n v="5.0461905234926"/>
  </r>
  <r>
    <x v="4"/>
    <s v="Electric"/>
    <x v="70"/>
    <x v="0"/>
    <n v="510425"/>
    <n v="36526"/>
    <n v="7818.899721"/>
    <n v="7087.402988000001"/>
    <n v="-9.355494495412765"/>
    <n v="205794.71"/>
    <n v="160471.18"/>
    <n v="-22.023661346785833"/>
    <n v="9775"/>
    <n v="8926"/>
    <n v="-8.68542199488491"/>
  </r>
  <r>
    <x v="3"/>
    <s v="Electric"/>
    <x v="71"/>
    <x v="0"/>
    <n v="2385"/>
    <n v="36526"/>
    <n v="103.53676800000001"/>
    <n v="107.43705600000001"/>
    <n v="3.7670559699139927"/>
    <n v="7988.65"/>
    <n v="6624.43"/>
    <n v="-17.076977962484275"/>
    <n v="874"/>
    <n v="614"/>
    <n v="-29.748283752860413"/>
  </r>
  <r>
    <x v="0"/>
    <s v="Electric"/>
    <x v="72"/>
    <x v="1"/>
    <n v="73726"/>
    <n v="36526"/>
    <n v="918.069696"/>
    <n v="955.7967359999999"/>
    <n v="4.109387355271116"/>
    <n v="26135.58"/>
    <n v="24171.28"/>
    <n v="-7.515807952224516"/>
    <n v="1582"/>
    <n v="1697"/>
    <n v="7.269279393173199"/>
  </r>
  <r>
    <x v="2"/>
    <s v="Electric"/>
    <x v="73"/>
    <x v="0"/>
    <n v="221601"/>
    <n v="36526"/>
    <n v="3795.781602"/>
    <n v="3362.792136"/>
    <n v="-11.407122732558092"/>
    <n v="109204.42"/>
    <n v="82202.47"/>
    <n v="-24.726059622861417"/>
    <n v="5508"/>
    <n v="5162"/>
    <n v="-6.281771968046478"/>
  </r>
  <r>
    <x v="0"/>
    <s v="Electric"/>
    <x v="74"/>
    <x v="2"/>
    <n v="95518"/>
    <n v="36526"/>
    <n v="1452.7912320000003"/>
    <n v="1404.542976"/>
    <n v="-3.3210729069158087"/>
    <n v="38747.54"/>
    <n v="33577.47"/>
    <n v="-13.342963191985866"/>
    <n v="2331"/>
    <n v="2457"/>
    <n v="5.405405405405405"/>
  </r>
  <r>
    <x v="0"/>
    <s v="Electric"/>
    <x v="75"/>
    <x v="0"/>
    <n v="93897"/>
    <n v="36526"/>
    <n v="1815.497568"/>
    <n v="1779.590016"/>
    <n v="-1.977835312638648"/>
    <n v="47200.34"/>
    <n v="40783.78"/>
    <n v="-13.59430885455486"/>
    <n v="2736"/>
    <n v="2871"/>
    <n v="4.934210526315789"/>
  </r>
  <r>
    <x v="2"/>
    <s v="Electric"/>
    <x v="76"/>
    <x v="0"/>
    <n v="189290"/>
    <n v="36526"/>
    <n v="3125.577618"/>
    <n v="2587.503848"/>
    <n v="-17.215178624944958"/>
    <n v="82349.33"/>
    <n v="63144.02"/>
    <n v="-23.321756230439277"/>
    <n v="3839"/>
    <n v="3610"/>
    <n v="-5.965095076842927"/>
  </r>
  <r>
    <x v="0"/>
    <s v="Electric"/>
    <x v="77"/>
    <x v="2"/>
    <n v="115158"/>
    <n v="36526"/>
    <n v="1636.60176"/>
    <n v="1437.1344"/>
    <n v="-12.187898417022357"/>
    <n v="42198.85"/>
    <n v="33490.81"/>
    <n v="-20.635728224821293"/>
    <n v="2383"/>
    <n v="2059"/>
    <n v="-13.596307175828787"/>
  </r>
  <r>
    <x v="4"/>
    <s v="Electric"/>
    <x v="78"/>
    <x v="0"/>
    <n v="535686"/>
    <n v="36526"/>
    <n v="8020.358872"/>
    <n v="7647.510084"/>
    <n v="-4.648779362001604"/>
    <n v="202066.76"/>
    <n v="160683.25"/>
    <n v="-20.48011756114662"/>
    <n v="9293"/>
    <n v="8576"/>
    <n v="-7.71548477348542"/>
  </r>
  <r>
    <x v="3"/>
    <s v="Electric"/>
    <x v="79"/>
    <x v="0"/>
    <n v="0"/>
    <n v="36526"/>
    <n v="33.08438400000001"/>
    <n v="9.171456000000001"/>
    <n v="-72.27859524300044"/>
    <n v="2790.93"/>
    <n v="1295.38"/>
    <n v="-53.5860806254546"/>
    <n v="187"/>
    <n v="97"/>
    <n v="-48.12834224598931"/>
  </r>
  <r>
    <x v="0"/>
    <s v="Electric"/>
    <x v="80"/>
    <x v="0"/>
    <n v="95352"/>
    <n v="36526"/>
    <n v="1579.26336"/>
    <n v="1794.9849599999998"/>
    <n v="13.659634324701871"/>
    <n v="43404.93"/>
    <n v="38873.04"/>
    <n v="-10.440956822185868"/>
    <n v="2818"/>
    <n v="2325"/>
    <n v="-17.494677075940384"/>
  </r>
  <r>
    <x v="0"/>
    <s v="Electric"/>
    <x v="81"/>
    <x v="0"/>
    <n v="88406"/>
    <n v="36526"/>
    <n v="1347.6162239999999"/>
    <n v="1352.134656"/>
    <n v="0.3352907095900346"/>
    <n v="36745.65"/>
    <n v="32487.69"/>
    <n v="-11.587657314539271"/>
    <n v="2255"/>
    <n v="2362"/>
    <n v="4.745011086474501"/>
  </r>
  <r>
    <x v="0"/>
    <s v="Electric"/>
    <x v="82"/>
    <x v="0"/>
    <n v="77078"/>
    <n v="36526"/>
    <n v="1469.173632"/>
    <n v="1428.781824"/>
    <n v="-2.7492875668490098"/>
    <n v="42046.2"/>
    <n v="35410.45"/>
    <n v="-15.782044512940526"/>
    <n v="2881"/>
    <n v="2558"/>
    <n v="-11.211384935786187"/>
  </r>
  <r>
    <x v="3"/>
    <s v="Electric"/>
    <x v="83"/>
    <x v="0"/>
    <n v="35143"/>
    <n v="36526"/>
    <n v="1738.5002879999997"/>
    <n v="1570.2842880000003"/>
    <n v="-9.675925920812933"/>
    <n v="41365.65"/>
    <n v="32509.87"/>
    <n v="-21.408535826222966"/>
    <n v="1930"/>
    <n v="1930"/>
    <n v="0"/>
  </r>
  <r>
    <x v="0"/>
    <s v="Electric"/>
    <x v="84"/>
    <x v="0"/>
    <n v="0"/>
    <n v="36526"/>
    <n v="2209.361181"/>
    <n v="672.996528"/>
    <n v="-69.53886336975522"/>
    <n v="53427.09"/>
    <n v="20950.35"/>
    <n v="-60.78702770448474"/>
    <n v="2526"/>
    <n v="658"/>
    <n v="-73.95091053048299"/>
  </r>
  <r>
    <x v="0"/>
    <s v="Electric"/>
    <x v="85"/>
    <x v="0"/>
    <n v="124682"/>
    <n v="36526"/>
    <n v="1757.503872"/>
    <n v="1511.324928"/>
    <n v="-14.007305925298121"/>
    <n v="44123.67"/>
    <n v="34097.69"/>
    <n v="-22.722452597438064"/>
    <n v="2348"/>
    <n v="2076"/>
    <n v="-11.584327086882453"/>
  </r>
  <r>
    <x v="0"/>
    <s v="Electric"/>
    <x v="86"/>
    <x v="1"/>
    <n v="107075"/>
    <n v="36526"/>
    <n v="1945.355392"/>
    <n v="1612.5419080000001"/>
    <n v="-17.108107103136447"/>
    <n v="51629.88"/>
    <n v="41576.8"/>
    <n v="-19.47143785730279"/>
    <n v="2213"/>
    <n v="2205"/>
    <n v="-0.3615002259376412"/>
  </r>
  <r>
    <x v="0"/>
    <s v="Electric"/>
    <x v="87"/>
    <x v="0"/>
    <n v="88192"/>
    <n v="36526"/>
    <n v="1555.017408"/>
    <n v="1145.776896"/>
    <n v="-26.31742319376015"/>
    <n v="41798.16"/>
    <n v="28747.34"/>
    <n v="-31.223431844846758"/>
    <n v="2492"/>
    <n v="2195"/>
    <n v="-11.918138041733549"/>
  </r>
  <r>
    <x v="0"/>
    <s v="Electric"/>
    <x v="88"/>
    <x v="2"/>
    <n v="74252"/>
    <n v="36526"/>
    <n v="1314.523776"/>
    <n v="1243.3873919999999"/>
    <n v="-5.411570737538345"/>
    <n v="37504.04"/>
    <n v="30953.02"/>
    <n v="-17.467504834145867"/>
    <n v="2525"/>
    <n v="2183"/>
    <n v="-13.544554455445546"/>
  </r>
  <r>
    <x v="3"/>
    <s v="Electric"/>
    <x v="89"/>
    <x v="2"/>
    <n v="1121"/>
    <n v="36526"/>
    <n v="2.344221"/>
    <n v="3.6235440000000008"/>
    <n v="54.57348091327569"/>
    <n v="92.94"/>
    <n v="109.55"/>
    <n v="17.871745211964708"/>
    <n v="12"/>
    <n v="13"/>
    <n v="8.333333333333334"/>
  </r>
  <r>
    <x v="3"/>
    <s v="Electric"/>
    <x v="90"/>
    <x v="2"/>
    <n v="924"/>
    <n v="36526"/>
    <n v="9.153666000000001"/>
    <n v="7.206143999999999"/>
    <n v="-21.27586914357593"/>
    <n v="258.85"/>
    <n v="207.91"/>
    <n v="-19.679350975468417"/>
    <n v="11"/>
    <n v="11"/>
    <n v="0"/>
  </r>
  <r>
    <x v="0"/>
    <s v="Electric"/>
    <x v="91"/>
    <x v="0"/>
    <n v="83355"/>
    <n v="36526"/>
    <n v="1222.782336"/>
    <n v="1049.476608"/>
    <n v="-14.173064403835154"/>
    <n v="31611.16"/>
    <n v="25159.28"/>
    <n v="-20.410133636348682"/>
    <n v="1102"/>
    <n v="1656"/>
    <n v="50.27223230490018"/>
  </r>
  <r>
    <x v="0"/>
    <s v="Electric"/>
    <x v="92"/>
    <x v="0"/>
    <n v="84893"/>
    <n v="36526"/>
    <n v="1344.667392"/>
    <n v="1359.9959039999999"/>
    <n v="1.1399482199981654"/>
    <n v="36154.38"/>
    <n v="34484.1"/>
    <n v="-4.619855187670208"/>
    <n v="2200"/>
    <n v="2726"/>
    <n v="23.90909090909091"/>
  </r>
  <r>
    <x v="0"/>
    <s v="Electric"/>
    <x v="93"/>
    <x v="2"/>
    <n v="112970"/>
    <n v="36526"/>
    <n v="1416.094656"/>
    <n v="1403.887872"/>
    <n v="-0.8620033942137865"/>
    <n v="37443.91"/>
    <n v="31001.04"/>
    <n v="-17.20672333631824"/>
    <n v="2143"/>
    <n v="2003"/>
    <n v="-6.532897806812879"/>
  </r>
  <r>
    <x v="0"/>
    <s v="Electric"/>
    <x v="94"/>
    <x v="0"/>
    <n v="104852"/>
    <n v="36526"/>
    <n v="1695.2507520000001"/>
    <n v="1430.747136"/>
    <n v="-15.602624903009056"/>
    <n v="46343.89"/>
    <n v="35007.89"/>
    <n v="-24.46061390185416"/>
    <n v="2849"/>
    <n v="2467"/>
    <n v="-13.408213408213408"/>
  </r>
  <r>
    <x v="0"/>
    <s v="Electric"/>
    <x v="95"/>
    <x v="2"/>
    <n v="100456"/>
    <n v="36526"/>
    <n v="1423.9582079999998"/>
    <n v="1473.984"/>
    <n v="3.513150296051391"/>
    <n v="40683"/>
    <n v="34221.15"/>
    <n v="-15.883415677309934"/>
    <n v="2443"/>
    <n v="2151"/>
    <n v="-11.95251739664347"/>
  </r>
  <r>
    <x v="3"/>
    <s v="Electric"/>
    <x v="96"/>
    <x v="0"/>
    <n v="86181"/>
    <n v="36526"/>
    <n v="866.9566080000001"/>
    <n v="896.1822720000001"/>
    <n v="3.37106421824516"/>
    <n v="24848.79"/>
    <n v="21940.99"/>
    <n v="-11.70197824521838"/>
    <n v="1406"/>
    <n v="1527"/>
    <n v="8.60597439544808"/>
  </r>
  <r>
    <x v="3"/>
    <s v="Electric"/>
    <x v="97"/>
    <x v="0"/>
    <n v="1875"/>
    <n v="36526"/>
    <n v="20.641823999999996"/>
    <n v="25.549056000000004"/>
    <n v="23.77324794553044"/>
    <n v="915.96"/>
    <n v="919.87"/>
    <n v="0.4268745360059391"/>
    <n v="71"/>
    <n v="77"/>
    <n v="8.450704225352112"/>
  </r>
  <r>
    <x v="0"/>
    <s v="Electric"/>
    <x v="98"/>
    <x v="0"/>
    <n v="90012"/>
    <n v="36526"/>
    <n v="1601.543424"/>
    <n v="1256.489472"/>
    <n v="-21.54508874559245"/>
    <n v="43241.9"/>
    <n v="31607.88"/>
    <n v="-26.90450697124779"/>
    <n v="2693"/>
    <n v="2277"/>
    <n v="-15.44745636836242"/>
  </r>
  <r>
    <x v="0"/>
    <s v="Electric"/>
    <x v="99"/>
    <x v="2"/>
    <n v="110549"/>
    <n v="36526"/>
    <n v="960.1656380000001"/>
    <n v="972.310816"/>
    <n v="1.2649044622444627"/>
    <n v="22460.45"/>
    <n v="19308.17"/>
    <n v="-14.034803398863335"/>
    <n v="1069"/>
    <n v="1001"/>
    <n v="-6.361085126286249"/>
  </r>
  <r>
    <x v="0"/>
    <s v="Electric"/>
    <x v="100"/>
    <x v="1"/>
    <n v="96996"/>
    <n v="36526"/>
    <n v="1541.256192"/>
    <n v="1354.755072"/>
    <n v="-12.10059177494615"/>
    <n v="41479.57"/>
    <n v="33204.3"/>
    <n v="-19.950230920908776"/>
    <n v="2484"/>
    <n v="2399"/>
    <n v="-3.421900161030596"/>
  </r>
  <r>
    <x v="0"/>
    <s v="Electric"/>
    <x v="101"/>
    <x v="2"/>
    <n v="92346"/>
    <n v="36526"/>
    <n v="1264.7212799999998"/>
    <n v="1231.5955199999999"/>
    <n v="-2.6192142509059284"/>
    <n v="30207.19"/>
    <n v="24728.6"/>
    <n v="-18.136708512112513"/>
    <n v="1425"/>
    <n v="1391"/>
    <n v="-2.3859649122807016"/>
  </r>
  <r>
    <x v="2"/>
    <s v="Electric"/>
    <x v="102"/>
    <x v="2"/>
    <n v="240580"/>
    <n v="36526"/>
    <n v="3280.456145"/>
    <n v="3163.0195360000002"/>
    <n v="-3.5798865709268664"/>
    <n v="82030.71"/>
    <n v="70287.49"/>
    <n v="-14.315638618756317"/>
    <n v="4818"/>
    <n v="4092"/>
    <n v="-15.068493150684931"/>
  </r>
  <r>
    <x v="0"/>
    <s v="Electric"/>
    <x v="103"/>
    <x v="2"/>
    <n v="96096"/>
    <n v="36526"/>
    <n v="1933.4508479999997"/>
    <n v="1600.173408"/>
    <n v="-17.237440524787512"/>
    <n v="51425.8"/>
    <n v="38158.49"/>
    <n v="-25.798937498298518"/>
    <n v="2892"/>
    <n v="2780"/>
    <n v="-3.872752420470263"/>
  </r>
  <r>
    <x v="3"/>
    <s v="Electric"/>
    <x v="104"/>
    <x v="2"/>
    <n v="22020"/>
    <n v="36526"/>
    <n v="2557.620288"/>
    <n v="2526.7565999999997"/>
    <n v="-1.2067345627812074"/>
    <n v="54569.66"/>
    <n v="44231.52"/>
    <n v="-18.944849573920745"/>
    <n v="1916"/>
    <n v="1719"/>
    <n v="-10.281837160751566"/>
  </r>
  <r>
    <x v="0"/>
    <s v="Electric"/>
    <x v="105"/>
    <x v="1"/>
    <n v="91338"/>
    <n v="36526"/>
    <n v="1989.2056160000002"/>
    <n v="1623.3477119999998"/>
    <n v="-18.392161225428605"/>
    <n v="51527.34"/>
    <n v="37752.18"/>
    <n v="-26.73369127923157"/>
    <n v="3032"/>
    <n v="2631"/>
    <n v="-13.225593667546175"/>
  </r>
  <r>
    <x v="2"/>
    <s v="Electric"/>
    <x v="106"/>
    <x v="2"/>
    <n v="227015"/>
    <n v="36526"/>
    <n v="2477.01888"/>
    <n v="2446.8134399999994"/>
    <n v="-1.219427120394033"/>
    <n v="56931.13"/>
    <n v="48145.24"/>
    <n v="-15.432488341615562"/>
    <n v="2563"/>
    <n v="2486"/>
    <n v="-3.0042918454935625"/>
  </r>
  <r>
    <x v="2"/>
    <s v="Electric"/>
    <x v="107"/>
    <x v="2"/>
    <n v="235889"/>
    <n v="36526"/>
    <n v="3882.263609"/>
    <n v="3467.2880480000003"/>
    <n v="-10.689010402023934"/>
    <n v="87628.95"/>
    <n v="66794.7"/>
    <n v="-23.775533085812395"/>
    <n v="3458"/>
    <n v="3076"/>
    <n v="-11.046847888953153"/>
  </r>
  <r>
    <x v="0"/>
    <s v="Electric"/>
    <x v="108"/>
    <x v="2"/>
    <n v="107914"/>
    <n v="36526"/>
    <n v="1616.94288"/>
    <n v="1579.61952"/>
    <n v="-2.308267067541687"/>
    <n v="41108.77"/>
    <n v="37383.52"/>
    <n v="-9.06193495937728"/>
    <n v="2175"/>
    <n v="2643"/>
    <n v="21.517241379310345"/>
  </r>
  <r>
    <x v="3"/>
    <s v="Electric"/>
    <x v="109"/>
    <x v="2"/>
    <n v="19649"/>
    <n v="36526"/>
    <n v="700.62064"/>
    <n v="519.7158400000001"/>
    <n v="-25.820649531535352"/>
    <n v="15714.33"/>
    <n v="10468.38"/>
    <n v="-33.38322410182298"/>
    <n v="700"/>
    <n v="550"/>
    <n v="-21.428571428571427"/>
  </r>
  <r>
    <x v="2"/>
    <s v="Electric"/>
    <x v="110"/>
    <x v="1"/>
    <n v="194432"/>
    <n v="36526"/>
    <n v="3904.820126"/>
    <n v="3029.7911719999997"/>
    <n v="-22.4089439657841"/>
    <n v="92281.34"/>
    <n v="56724.4"/>
    <n v="-38.531018296873455"/>
    <n v="3788"/>
    <n v="3603"/>
    <n v="-4.883843717001056"/>
  </r>
  <r>
    <x v="0"/>
    <s v="Electric"/>
    <x v="111"/>
    <x v="0"/>
    <n v="101727"/>
    <n v="36526"/>
    <n v="1820.7331100000001"/>
    <n v="1798.366252"/>
    <n v="-1.2284534112745424"/>
    <n v="46334.17"/>
    <n v="42294.1"/>
    <n v="-8.719418088205746"/>
    <n v="2453"/>
    <n v="2338"/>
    <n v="-4.688136975132491"/>
  </r>
  <r>
    <x v="2"/>
    <s v="Electric"/>
    <x v="112"/>
    <x v="0"/>
    <n v="208340"/>
    <n v="36526"/>
    <n v="2648.870256"/>
    <n v="2484.43074"/>
    <n v="-6.207911302092868"/>
    <n v="68957.84"/>
    <n v="56734.44"/>
    <n v="-17.725903247549518"/>
    <n v="4633"/>
    <n v="3153"/>
    <n v="-31.944744226203326"/>
  </r>
  <r>
    <x v="0"/>
    <s v="Electric"/>
    <x v="113"/>
    <x v="1"/>
    <n v="98490"/>
    <n v="36526"/>
    <n v="1758.729139"/>
    <n v="1667.3591000000001"/>
    <n v="-5.195230861527229"/>
    <n v="46663.57"/>
    <n v="39217.77"/>
    <n v="-15.956344531719283"/>
    <n v="2429"/>
    <n v="2079"/>
    <n v="-14.409221902017292"/>
  </r>
  <r>
    <x v="0"/>
    <s v="Electric"/>
    <x v="114"/>
    <x v="2"/>
    <n v="99987"/>
    <n v="36526"/>
    <n v="1294.465575"/>
    <n v="1170.797092"/>
    <n v="-9.553632432442235"/>
    <n v="30450.77"/>
    <n v="24136.94"/>
    <n v="-20.734549569682475"/>
    <n v="1462"/>
    <n v="1469"/>
    <n v="0.4787961696306429"/>
  </r>
  <r>
    <x v="2"/>
    <s v="Electric"/>
    <x v="115"/>
    <x v="0"/>
    <n v="217165"/>
    <n v="36526"/>
    <n v="3068.362086"/>
    <n v="2857.911672"/>
    <n v="-6.858721627418775"/>
    <n v="77837.23"/>
    <n v="63881.55"/>
    <n v="-17.929312232719486"/>
    <n v="3566"/>
    <n v="3692"/>
    <n v="3.5333707234997194"/>
  </r>
  <r>
    <x v="0"/>
    <s v="Electric"/>
    <x v="116"/>
    <x v="2"/>
    <n v="122878"/>
    <n v="36526"/>
    <n v="1674.28128"/>
    <n v="1562.4230400000001"/>
    <n v="-6.680970595335087"/>
    <n v="44882.02"/>
    <n v="36682.83"/>
    <n v="-18.2683176915834"/>
    <n v="2669"/>
    <n v="2343"/>
    <n v="-12.214312476582991"/>
  </r>
  <r>
    <x v="3"/>
    <s v="Electric"/>
    <x v="117"/>
    <x v="2"/>
    <n v="20124"/>
    <n v="36526"/>
    <n v="173.65343999999996"/>
    <n v="145.433088"/>
    <n v="-16.25096053380801"/>
    <n v="4333.65"/>
    <n v="3185.73"/>
    <n v="-26.488525838496415"/>
    <n v="216"/>
    <n v="184"/>
    <n v="-14.814814814814815"/>
  </r>
  <r>
    <x v="3"/>
    <s v="Electric"/>
    <x v="118"/>
    <x v="2"/>
    <n v="45340"/>
    <n v="36526"/>
    <n v="904.30848"/>
    <n v="922.3864319999999"/>
    <n v="1.9990912835407597"/>
    <n v="19645.55"/>
    <n v="17424.93"/>
    <n v="-11.303424948652493"/>
    <n v="748"/>
    <n v="859"/>
    <n v="14.83957219251337"/>
  </r>
  <r>
    <x v="0"/>
    <s v="Electric"/>
    <x v="119"/>
    <x v="0"/>
    <n v="89993"/>
    <n v="36526"/>
    <n v="1256.202432"/>
    <n v="1199.8229760000002"/>
    <n v="-4.488086837265396"/>
    <n v="33942.87"/>
    <n v="27932.1"/>
    <n v="-17.708490766985822"/>
    <n v="1856"/>
    <n v="1800"/>
    <n v="-3.0172413793103448"/>
  </r>
  <r>
    <x v="0"/>
    <s v="Electric"/>
    <x v="120"/>
    <x v="0"/>
    <n v="84992"/>
    <n v="36526"/>
    <n v="1390.538112"/>
    <n v="1356.0652799999998"/>
    <n v="-2.479100119767163"/>
    <n v="38701.81"/>
    <n v="32790.39"/>
    <n v="-15.274272701974404"/>
    <n v="2458"/>
    <n v="2478"/>
    <n v="0.8136696501220504"/>
  </r>
  <r>
    <x v="1"/>
    <s v="Electric"/>
    <x v="121"/>
    <x v="0"/>
    <n v="41975"/>
    <n v="36526"/>
    <n v="1199.1916800000001"/>
    <n v="1084.852224"/>
    <n v="-9.534710581047397"/>
    <n v="30134.96"/>
    <n v="23354.67"/>
    <n v="-22.49974780122489"/>
    <n v="1429"/>
    <n v="1406"/>
    <n v="-1.6095171448565428"/>
  </r>
  <r>
    <x v="1"/>
    <s v="Electric"/>
    <x v="122"/>
    <x v="0"/>
    <n v="50022"/>
    <n v="36526"/>
    <n v="944.936832"/>
    <n v="927.6272640000002"/>
    <n v="-1.8318227646353247"/>
    <n v="28451.71"/>
    <n v="23902.81"/>
    <n v="-15.988142716202294"/>
    <n v="1934"/>
    <n v="1905"/>
    <n v="-1.499482936918304"/>
  </r>
  <r>
    <x v="0"/>
    <s v="Electric"/>
    <x v="123"/>
    <x v="2"/>
    <n v="115438"/>
    <n v="36526"/>
    <n v="1602.19872"/>
    <n v="1530.4867199999999"/>
    <n v="-4.475849287908563"/>
    <n v="41906.23"/>
    <n v="37522.4"/>
    <n v="-10.461046006763194"/>
    <n v="2772"/>
    <n v="2707"/>
    <n v="-2.344877344877345"/>
  </r>
  <r>
    <x v="0"/>
    <s v="Electric"/>
    <x v="124"/>
    <x v="0"/>
    <n v="81794"/>
    <n v="36526"/>
    <n v="1551.0856319999998"/>
    <n v="1542.7699200000002"/>
    <n v="-0.5361220443565734"/>
    <n v="44091.16"/>
    <n v="37197.14"/>
    <n v="-15.635832670313052"/>
    <n v="2765"/>
    <n v="2592"/>
    <n v="-6.256781193490054"/>
  </r>
  <r>
    <x v="0"/>
    <s v="Water"/>
    <x v="0"/>
    <x v="0"/>
    <n v="109321"/>
    <n v="36526"/>
    <n v="0"/>
    <n v="0"/>
    <n v="0"/>
    <n v="16951.78"/>
    <n v="9859.84"/>
    <n v="-41.83596058938943"/>
    <n v="0"/>
    <n v="0"/>
    <n v="0"/>
  </r>
  <r>
    <x v="1"/>
    <s v="Water"/>
    <x v="2"/>
    <x v="1"/>
    <n v="50839"/>
    <n v="36526"/>
    <n v="0"/>
    <n v="0"/>
    <n v="0"/>
    <n v="2088.7"/>
    <n v="2452.1"/>
    <n v="17.398381768564178"/>
    <n v="0"/>
    <n v="0"/>
    <n v="0"/>
  </r>
  <r>
    <x v="0"/>
    <s v="Water"/>
    <x v="3"/>
    <x v="2"/>
    <n v="107836"/>
    <n v="36526"/>
    <n v="0"/>
    <n v="0"/>
    <n v="0"/>
    <n v="13773.12"/>
    <n v="10047.54"/>
    <n v="-27.0496445249878"/>
    <n v="0"/>
    <n v="0"/>
    <n v="0"/>
  </r>
  <r>
    <x v="2"/>
    <s v="Water"/>
    <x v="4"/>
    <x v="2"/>
    <n v="244123"/>
    <n v="36526"/>
    <n v="0"/>
    <n v="0"/>
    <n v="0"/>
    <n v="28322.88"/>
    <n v="22134.68"/>
    <n v="-21.84876679207764"/>
    <n v="0"/>
    <n v="0"/>
    <n v="0"/>
  </r>
  <r>
    <x v="2"/>
    <s v="Water"/>
    <x v="5"/>
    <x v="0"/>
    <n v="219821"/>
    <n v="36526"/>
    <n v="0"/>
    <n v="0"/>
    <n v="0"/>
    <n v="15593.09"/>
    <n v="10352.36"/>
    <n v="-33.60931027782178"/>
    <n v="0"/>
    <n v="0"/>
    <n v="0"/>
  </r>
  <r>
    <x v="0"/>
    <s v="Water"/>
    <x v="7"/>
    <x v="2"/>
    <n v="89416"/>
    <n v="36526"/>
    <n v="0"/>
    <n v="0"/>
    <n v="0"/>
    <n v="4458.4"/>
    <n v="7147.5"/>
    <n v="60.315359770321194"/>
    <n v="0"/>
    <n v="0"/>
    <n v="0"/>
  </r>
  <r>
    <x v="0"/>
    <s v="Water"/>
    <x v="8"/>
    <x v="0"/>
    <n v="106804"/>
    <n v="36526"/>
    <n v="0"/>
    <n v="0"/>
    <n v="0"/>
    <n v="2209.66"/>
    <n v="9865.09"/>
    <n v="346.4528479494583"/>
    <n v="0"/>
    <n v="0"/>
    <n v="0"/>
  </r>
  <r>
    <x v="0"/>
    <s v="Water"/>
    <x v="9"/>
    <x v="0"/>
    <n v="85320"/>
    <n v="36526"/>
    <n v="0"/>
    <n v="0"/>
    <n v="0"/>
    <n v="6188.47"/>
    <n v="12088.18"/>
    <n v="95.333903210325"/>
    <n v="0"/>
    <n v="0"/>
    <n v="0"/>
  </r>
  <r>
    <x v="3"/>
    <s v="Water"/>
    <x v="10"/>
    <x v="0"/>
    <n v="22677"/>
    <n v="36526"/>
    <n v="0"/>
    <n v="0"/>
    <n v="0"/>
    <n v="1387.63"/>
    <n v="2806.15"/>
    <n v="102.226097734987"/>
    <n v="0"/>
    <n v="0"/>
    <n v="0"/>
  </r>
  <r>
    <x v="3"/>
    <s v="Water"/>
    <x v="11"/>
    <x v="2"/>
    <n v="491434"/>
    <n v="36526"/>
    <n v="0"/>
    <n v="0"/>
    <n v="0"/>
    <n v="32823.56"/>
    <n v="34622.52"/>
    <n v="5.480697401500629"/>
    <n v="0"/>
    <n v="0"/>
    <n v="0"/>
  </r>
  <r>
    <x v="0"/>
    <s v="Water"/>
    <x v="12"/>
    <x v="0"/>
    <n v="106488"/>
    <n v="36526"/>
    <n v="0"/>
    <n v="0"/>
    <n v="0"/>
    <n v="9578.53"/>
    <n v="9276.38"/>
    <n v="-3.1544506307335256"/>
    <n v="0"/>
    <n v="0"/>
    <n v="0"/>
  </r>
  <r>
    <x v="0"/>
    <s v="Water"/>
    <x v="13"/>
    <x v="2"/>
    <n v="97384"/>
    <n v="36526"/>
    <n v="0"/>
    <n v="0"/>
    <n v="0"/>
    <n v="11169.4"/>
    <n v="13693.02"/>
    <n v="22.59405160527871"/>
    <n v="0"/>
    <n v="0"/>
    <n v="0"/>
  </r>
  <r>
    <x v="2"/>
    <s v="Water"/>
    <x v="14"/>
    <x v="0"/>
    <n v="229363"/>
    <n v="36526"/>
    <n v="0"/>
    <n v="0"/>
    <n v="0"/>
    <n v="10519.11"/>
    <n v="10721.89"/>
    <n v="1.9277296273163793"/>
    <n v="0"/>
    <n v="0"/>
    <n v="0"/>
  </r>
  <r>
    <x v="3"/>
    <s v="Water"/>
    <x v="15"/>
    <x v="2"/>
    <n v="18144"/>
    <n v="36526"/>
    <n v="0"/>
    <n v="0"/>
    <n v="0"/>
    <n v="363.8"/>
    <n v="406.05"/>
    <n v="11.613523914238591"/>
    <n v="0"/>
    <n v="0"/>
    <n v="0"/>
  </r>
  <r>
    <x v="4"/>
    <s v="Water"/>
    <x v="16"/>
    <x v="2"/>
    <n v="573468"/>
    <n v="36526"/>
    <n v="0"/>
    <n v="0"/>
    <n v="0"/>
    <n v="22854.86"/>
    <n v="37376.34"/>
    <n v="63.53782083985638"/>
    <n v="0"/>
    <n v="0"/>
    <n v="0"/>
  </r>
  <r>
    <x v="2"/>
    <s v="Water"/>
    <x v="19"/>
    <x v="0"/>
    <n v="204629"/>
    <n v="36526"/>
    <n v="0"/>
    <n v="0"/>
    <n v="0"/>
    <n v="13547.67"/>
    <n v="25706.67"/>
    <n v="89.74975032607082"/>
    <n v="0"/>
    <n v="0"/>
    <n v="0"/>
  </r>
  <r>
    <x v="0"/>
    <s v="Water"/>
    <x v="20"/>
    <x v="0"/>
    <n v="86318"/>
    <n v="36526"/>
    <n v="0"/>
    <n v="0"/>
    <n v="0"/>
    <n v="10519.88"/>
    <n v="9921.96"/>
    <n v="-5.683715023365286"/>
    <n v="0"/>
    <n v="0"/>
    <n v="0"/>
  </r>
  <r>
    <x v="4"/>
    <s v="Water"/>
    <x v="21"/>
    <x v="0"/>
    <n v="525576"/>
    <n v="36526"/>
    <n v="0"/>
    <n v="0"/>
    <n v="0"/>
    <n v="54178.09"/>
    <n v="50579.23"/>
    <n v="-6.642648347330074"/>
    <n v="0"/>
    <n v="0"/>
    <n v="0"/>
  </r>
  <r>
    <x v="3"/>
    <s v="Water"/>
    <x v="125"/>
    <x v="2"/>
    <n v="0"/>
    <n v="36526"/>
    <n v="0"/>
    <n v="0"/>
    <n v="0"/>
    <n v="83753.5"/>
    <n v="75622.65"/>
    <n v="-9.708071901472774"/>
    <n v="0"/>
    <n v="0"/>
    <n v="0"/>
  </r>
  <r>
    <x v="4"/>
    <s v="Water"/>
    <x v="25"/>
    <x v="0"/>
    <n v="578719"/>
    <n v="36526"/>
    <n v="0"/>
    <n v="0"/>
    <n v="0"/>
    <n v="44757.35"/>
    <n v="41779.39"/>
    <n v="-6.653566397474382"/>
    <n v="0"/>
    <n v="0"/>
    <n v="0"/>
  </r>
  <r>
    <x v="4"/>
    <s v="Water"/>
    <x v="26"/>
    <x v="1"/>
    <n v="520212"/>
    <n v="36526"/>
    <n v="0"/>
    <n v="0"/>
    <n v="0"/>
    <n v="38632.35"/>
    <n v="44452.88"/>
    <n v="15.06646631644205"/>
    <n v="0"/>
    <n v="0"/>
    <n v="0"/>
  </r>
  <r>
    <x v="4"/>
    <s v="Water"/>
    <x v="27"/>
    <x v="2"/>
    <n v="590057"/>
    <n v="36526"/>
    <n v="0"/>
    <n v="0"/>
    <n v="0"/>
    <n v="21690.34"/>
    <n v="27127.93"/>
    <n v="25.06917826092168"/>
    <n v="0"/>
    <n v="0"/>
    <n v="0"/>
  </r>
  <r>
    <x v="4"/>
    <s v="Water"/>
    <x v="28"/>
    <x v="2"/>
    <n v="530203"/>
    <n v="36526"/>
    <n v="0"/>
    <n v="0"/>
    <n v="0"/>
    <n v="40132.6"/>
    <n v="53276.52"/>
    <n v="32.75122967363191"/>
    <n v="0"/>
    <n v="0"/>
    <n v="0"/>
  </r>
  <r>
    <x v="4"/>
    <s v="Water"/>
    <x v="29"/>
    <x v="0"/>
    <n v="497661"/>
    <n v="36526"/>
    <n v="0"/>
    <n v="0"/>
    <n v="0"/>
    <n v="32587.12"/>
    <n v="35101.57"/>
    <n v="7.716085373607732"/>
    <n v="0"/>
    <n v="0"/>
    <n v="0"/>
  </r>
  <r>
    <x v="4"/>
    <s v="Water"/>
    <x v="30"/>
    <x v="2"/>
    <n v="477795"/>
    <n v="36526"/>
    <n v="0"/>
    <n v="0"/>
    <n v="0"/>
    <n v="94298.86"/>
    <n v="109709.56"/>
    <n v="16.342403290983583"/>
    <n v="0"/>
    <n v="0"/>
    <n v="0"/>
  </r>
  <r>
    <x v="4"/>
    <s v="Water"/>
    <x v="31"/>
    <x v="2"/>
    <n v="535914"/>
    <n v="36526"/>
    <n v="0"/>
    <n v="0"/>
    <n v="0"/>
    <n v="20984.16"/>
    <n v="26324.68"/>
    <n v="25.450244374804615"/>
    <n v="0"/>
    <n v="0"/>
    <n v="0"/>
  </r>
  <r>
    <x v="0"/>
    <s v="Water"/>
    <x v="32"/>
    <x v="0"/>
    <n v="99588"/>
    <n v="36526"/>
    <n v="0"/>
    <n v="0"/>
    <n v="0"/>
    <n v="8000.69"/>
    <n v="8834.69"/>
    <n v="10.424100921295537"/>
    <n v="0"/>
    <n v="0"/>
    <n v="0"/>
  </r>
  <r>
    <x v="2"/>
    <s v="Water"/>
    <x v="33"/>
    <x v="0"/>
    <n v="213572"/>
    <n v="36526"/>
    <n v="0"/>
    <n v="0"/>
    <n v="0"/>
    <n v="25211.12"/>
    <n v="10118.49"/>
    <n v="-59.86497228207236"/>
    <n v="0"/>
    <n v="0"/>
    <n v="0"/>
  </r>
  <r>
    <x v="0"/>
    <s v="Water"/>
    <x v="34"/>
    <x v="1"/>
    <n v="97959"/>
    <n v="36526"/>
    <n v="0"/>
    <n v="0"/>
    <n v="0"/>
    <n v="9218.71"/>
    <n v="12976.26"/>
    <n v="40.76004126390786"/>
    <n v="0"/>
    <n v="0"/>
    <n v="0"/>
  </r>
  <r>
    <x v="3"/>
    <s v="Water"/>
    <x v="35"/>
    <x v="0"/>
    <n v="6832"/>
    <n v="36526"/>
    <n v="0"/>
    <n v="0"/>
    <n v="0"/>
    <n v="708.36"/>
    <n v="820.98"/>
    <n v="15.898695578519396"/>
    <n v="0"/>
    <n v="0"/>
    <n v="0"/>
  </r>
  <r>
    <x v="3"/>
    <s v="Water"/>
    <x v="36"/>
    <x v="0"/>
    <n v="4573"/>
    <n v="36526"/>
    <n v="0"/>
    <n v="0"/>
    <n v="0"/>
    <n v="2089.6"/>
    <n v="1561.79"/>
    <n v="-25.258901225114855"/>
    <n v="0"/>
    <n v="0"/>
    <n v="0"/>
  </r>
  <r>
    <x v="3"/>
    <s v="Water"/>
    <x v="37"/>
    <x v="0"/>
    <n v="26451"/>
    <n v="36526"/>
    <n v="0"/>
    <n v="0"/>
    <n v="0"/>
    <n v="3968.9"/>
    <n v="3924.9"/>
    <n v="-1.1086195167426742"/>
    <n v="0"/>
    <n v="0"/>
    <n v="0"/>
  </r>
  <r>
    <x v="0"/>
    <s v="Water"/>
    <x v="38"/>
    <x v="1"/>
    <n v="95366"/>
    <n v="36526"/>
    <n v="0"/>
    <n v="0"/>
    <n v="0"/>
    <n v="8764.91"/>
    <n v="10050.96"/>
    <n v="14.67271198449271"/>
    <n v="0"/>
    <n v="0"/>
    <n v="0"/>
  </r>
  <r>
    <x v="0"/>
    <s v="Water"/>
    <x v="39"/>
    <x v="0"/>
    <n v="76544"/>
    <n v="36526"/>
    <n v="0"/>
    <n v="0"/>
    <n v="0"/>
    <n v="4799"/>
    <n v="11607"/>
    <n v="141.86288810168787"/>
    <n v="0"/>
    <n v="0"/>
    <n v="0"/>
  </r>
  <r>
    <x v="3"/>
    <s v="Water"/>
    <x v="42"/>
    <x v="0"/>
    <n v="0"/>
    <n v="36526"/>
    <n v="0"/>
    <n v="0"/>
    <n v="0"/>
    <n v="84600.02"/>
    <n v="95465.21"/>
    <n v="12.843011148224313"/>
    <n v="0"/>
    <n v="0"/>
    <n v="0"/>
  </r>
  <r>
    <x v="0"/>
    <s v="Water"/>
    <x v="43"/>
    <x v="2"/>
    <n v="95036"/>
    <n v="36526"/>
    <n v="0"/>
    <n v="0"/>
    <n v="0"/>
    <n v="10033.44"/>
    <n v="9753.74"/>
    <n v="-2.787678004752109"/>
    <n v="0"/>
    <n v="0"/>
    <n v="0"/>
  </r>
  <r>
    <x v="0"/>
    <s v="Water"/>
    <x v="44"/>
    <x v="0"/>
    <n v="91621"/>
    <n v="36526"/>
    <n v="0"/>
    <n v="0"/>
    <n v="0"/>
    <n v="13008.83"/>
    <n v="12053.02"/>
    <n v="-7.347394039279473"/>
    <n v="0"/>
    <n v="0"/>
    <n v="0"/>
  </r>
  <r>
    <x v="0"/>
    <s v="Water"/>
    <x v="47"/>
    <x v="0"/>
    <n v="90518"/>
    <n v="36526"/>
    <n v="0"/>
    <n v="0"/>
    <n v="0"/>
    <n v="4554"/>
    <n v="4818.67"/>
    <n v="5.811813790074659"/>
    <n v="0"/>
    <n v="0"/>
    <n v="0"/>
  </r>
  <r>
    <x v="0"/>
    <s v="Water"/>
    <x v="48"/>
    <x v="0"/>
    <n v="85844"/>
    <n v="36526"/>
    <n v="0"/>
    <n v="0"/>
    <n v="0"/>
    <n v="1876.75"/>
    <n v="1750.65"/>
    <n v="-6.719062208605302"/>
    <n v="0"/>
    <n v="0"/>
    <n v="0"/>
  </r>
  <r>
    <x v="0"/>
    <s v="Water"/>
    <x v="49"/>
    <x v="0"/>
    <n v="91424"/>
    <n v="36526"/>
    <n v="0"/>
    <n v="0"/>
    <n v="0"/>
    <n v="7434.5"/>
    <n v="7292.54"/>
    <n v="-1.909476091196449"/>
    <n v="0"/>
    <n v="0"/>
    <n v="0"/>
  </r>
  <r>
    <x v="2"/>
    <s v="Water"/>
    <x v="50"/>
    <x v="2"/>
    <n v="218801"/>
    <n v="36526"/>
    <n v="0"/>
    <n v="0"/>
    <n v="0"/>
    <n v="16175.94"/>
    <n v="18065.48"/>
    <n v="11.681175869841258"/>
    <n v="0"/>
    <n v="0"/>
    <n v="0"/>
  </r>
  <r>
    <x v="0"/>
    <s v="Water"/>
    <x v="51"/>
    <x v="0"/>
    <n v="85052"/>
    <n v="36526"/>
    <n v="0"/>
    <n v="0"/>
    <n v="0"/>
    <n v="8987.7"/>
    <n v="9989.6"/>
    <n v="11.147457080231872"/>
    <n v="0"/>
    <n v="0"/>
    <n v="0"/>
  </r>
  <r>
    <x v="0"/>
    <s v="Water"/>
    <x v="52"/>
    <x v="2"/>
    <n v="85650"/>
    <n v="36526"/>
    <n v="0"/>
    <n v="0"/>
    <n v="0"/>
    <n v="8530"/>
    <n v="6961.62"/>
    <n v="-18.386635404454864"/>
    <n v="0"/>
    <n v="0"/>
    <n v="0"/>
  </r>
  <r>
    <x v="2"/>
    <s v="Water"/>
    <x v="53"/>
    <x v="2"/>
    <n v="192751"/>
    <n v="36526"/>
    <n v="0"/>
    <n v="0"/>
    <n v="0"/>
    <n v="21038.75"/>
    <n v="22112.58"/>
    <n v="5.104057988235993"/>
    <n v="0"/>
    <n v="0"/>
    <n v="0"/>
  </r>
  <r>
    <x v="0"/>
    <s v="Water"/>
    <x v="54"/>
    <x v="0"/>
    <n v="88795"/>
    <n v="36526"/>
    <n v="0"/>
    <n v="0"/>
    <n v="0"/>
    <n v="7503.93"/>
    <n v="7363.48"/>
    <n v="-1.871685903253362"/>
    <n v="0"/>
    <n v="0"/>
    <n v="0"/>
  </r>
  <r>
    <x v="0"/>
    <s v="Water"/>
    <x v="55"/>
    <x v="1"/>
    <n v="96483"/>
    <n v="36526"/>
    <n v="0"/>
    <n v="0"/>
    <n v="0"/>
    <n v="7423.79"/>
    <n v="7674.86"/>
    <n v="3.381965276496237"/>
    <n v="0"/>
    <n v="0"/>
    <n v="0"/>
  </r>
  <r>
    <x v="0"/>
    <s v="Water"/>
    <x v="56"/>
    <x v="0"/>
    <n v="99937"/>
    <n v="36526"/>
    <n v="0"/>
    <n v="0"/>
    <n v="0"/>
    <n v="9837.48"/>
    <n v="14253.54"/>
    <n v="44.89015479574037"/>
    <n v="0"/>
    <n v="0"/>
    <n v="0"/>
  </r>
  <r>
    <x v="0"/>
    <s v="Water"/>
    <x v="57"/>
    <x v="0"/>
    <n v="81704"/>
    <n v="36526"/>
    <n v="0"/>
    <n v="0"/>
    <n v="0"/>
    <n v="11188.6"/>
    <n v="11190.57"/>
    <n v="0.017607207336038468"/>
    <n v="0"/>
    <n v="0"/>
    <n v="0"/>
  </r>
  <r>
    <x v="0"/>
    <s v="Water"/>
    <x v="58"/>
    <x v="1"/>
    <n v="112519"/>
    <n v="36526"/>
    <n v="0"/>
    <n v="0"/>
    <n v="0"/>
    <n v="2483.75"/>
    <n v="8422.3"/>
    <n v="239.09612481127328"/>
    <n v="0"/>
    <n v="0"/>
    <n v="0"/>
  </r>
  <r>
    <x v="2"/>
    <s v="Water"/>
    <x v="59"/>
    <x v="2"/>
    <n v="226178"/>
    <n v="36526"/>
    <n v="0"/>
    <n v="0"/>
    <n v="0"/>
    <n v="26093.45"/>
    <n v="29969.44"/>
    <n v="14.854264192738023"/>
    <n v="0"/>
    <n v="0"/>
    <n v="0"/>
  </r>
  <r>
    <x v="0"/>
    <s v="Water"/>
    <x v="60"/>
    <x v="0"/>
    <n v="87881"/>
    <n v="36526"/>
    <n v="0"/>
    <n v="0"/>
    <n v="0"/>
    <n v="6401.52"/>
    <n v="6899.1"/>
    <n v="7.772841450155588"/>
    <n v="0"/>
    <n v="0"/>
    <n v="0"/>
  </r>
  <r>
    <x v="3"/>
    <s v="Water"/>
    <x v="61"/>
    <x v="0"/>
    <n v="132467"/>
    <n v="36526"/>
    <n v="0"/>
    <n v="0"/>
    <n v="0"/>
    <n v="6276.64"/>
    <n v="7064.44"/>
    <n v="12.55130133319738"/>
    <n v="0"/>
    <n v="0"/>
    <n v="0"/>
  </r>
  <r>
    <x v="3"/>
    <s v="Water"/>
    <x v="68"/>
    <x v="0"/>
    <n v="35364"/>
    <n v="36526"/>
    <n v="0"/>
    <n v="0"/>
    <n v="0"/>
    <n v="1073.22"/>
    <n v="1144.01"/>
    <n v="6.596038090978551"/>
    <n v="0"/>
    <n v="0"/>
    <n v="0"/>
  </r>
  <r>
    <x v="3"/>
    <s v="Water"/>
    <x v="69"/>
    <x v="2"/>
    <n v="12152"/>
    <n v="36526"/>
    <n v="0"/>
    <n v="0"/>
    <n v="0"/>
    <n v="33849.1"/>
    <n v="35754"/>
    <n v="5.62762377729393"/>
    <n v="0"/>
    <n v="0"/>
    <n v="0"/>
  </r>
  <r>
    <x v="4"/>
    <s v="Water"/>
    <x v="70"/>
    <x v="0"/>
    <n v="510425"/>
    <n v="36526"/>
    <n v="0"/>
    <n v="0"/>
    <n v="0"/>
    <n v="23443.4"/>
    <n v="30584.23"/>
    <n v="30.459873567827195"/>
    <n v="0"/>
    <n v="0"/>
    <n v="0"/>
  </r>
  <r>
    <x v="0"/>
    <s v="Water"/>
    <x v="72"/>
    <x v="1"/>
    <n v="73726"/>
    <n v="36526"/>
    <n v="0"/>
    <n v="0"/>
    <n v="0"/>
    <n v="4222.85"/>
    <n v="6193.4"/>
    <n v="46.66398285518074"/>
    <n v="0"/>
    <n v="0"/>
    <n v="0"/>
  </r>
  <r>
    <x v="2"/>
    <s v="Water"/>
    <x v="73"/>
    <x v="0"/>
    <n v="221601"/>
    <n v="36526"/>
    <n v="0"/>
    <n v="0"/>
    <n v="0"/>
    <n v="18497.9"/>
    <n v="19024.05"/>
    <n v="2.8443769292730523"/>
    <n v="0"/>
    <n v="0"/>
    <n v="0"/>
  </r>
  <r>
    <x v="0"/>
    <s v="Water"/>
    <x v="74"/>
    <x v="2"/>
    <n v="95518"/>
    <n v="36526"/>
    <n v="0"/>
    <n v="0"/>
    <n v="0"/>
    <n v="5655.2"/>
    <n v="6919.8"/>
    <n v="22.361720186730796"/>
    <n v="0"/>
    <n v="0"/>
    <n v="0"/>
  </r>
  <r>
    <x v="0"/>
    <s v="Water"/>
    <x v="75"/>
    <x v="0"/>
    <n v="93897"/>
    <n v="36526"/>
    <n v="0"/>
    <n v="0"/>
    <n v="0"/>
    <n v="5284.44"/>
    <n v="8740.1"/>
    <n v="65.39311639454701"/>
    <n v="0"/>
    <n v="0"/>
    <n v="0"/>
  </r>
  <r>
    <x v="2"/>
    <s v="Water"/>
    <x v="76"/>
    <x v="0"/>
    <n v="189290"/>
    <n v="36526"/>
    <n v="0"/>
    <n v="0"/>
    <n v="0"/>
    <n v="13796.36"/>
    <n v="11809"/>
    <n v="-14.404958989182653"/>
    <n v="0"/>
    <n v="0"/>
    <n v="0"/>
  </r>
  <r>
    <x v="4"/>
    <s v="Water"/>
    <x v="78"/>
    <x v="0"/>
    <n v="535686"/>
    <n v="36526"/>
    <n v="0"/>
    <n v="0"/>
    <n v="0"/>
    <n v="18319.19"/>
    <n v="27743.13"/>
    <n v="51.44299502325157"/>
    <n v="0"/>
    <n v="0"/>
    <n v="0"/>
  </r>
  <r>
    <x v="0"/>
    <s v="Water"/>
    <x v="80"/>
    <x v="0"/>
    <n v="95352"/>
    <n v="36526"/>
    <n v="0"/>
    <n v="0"/>
    <n v="0"/>
    <n v="6445.75"/>
    <n v="7489.78"/>
    <n v="16.197184191133694"/>
    <n v="0"/>
    <n v="0"/>
    <n v="0"/>
  </r>
  <r>
    <x v="0"/>
    <s v="Water"/>
    <x v="81"/>
    <x v="0"/>
    <n v="88406"/>
    <n v="36526"/>
    <n v="0"/>
    <n v="0"/>
    <n v="0"/>
    <n v="7130.72"/>
    <n v="7064.28"/>
    <n v="-0.931743218076155"/>
    <n v="0"/>
    <n v="0"/>
    <n v="0"/>
  </r>
  <r>
    <x v="0"/>
    <s v="Water"/>
    <x v="82"/>
    <x v="0"/>
    <n v="77078"/>
    <n v="36526"/>
    <n v="0"/>
    <n v="0"/>
    <n v="0"/>
    <n v="4441.9"/>
    <n v="5250.8"/>
    <n v="18.21067561178775"/>
    <n v="0"/>
    <n v="0"/>
    <n v="0"/>
  </r>
  <r>
    <x v="3"/>
    <s v="Water"/>
    <x v="83"/>
    <x v="0"/>
    <n v="35143"/>
    <n v="36526"/>
    <n v="0"/>
    <n v="0"/>
    <n v="0"/>
    <n v="2198.44"/>
    <n v="2959.86"/>
    <n v="34.63455905096341"/>
    <n v="0"/>
    <n v="0"/>
    <n v="0"/>
  </r>
  <r>
    <x v="0"/>
    <s v="Water"/>
    <x v="84"/>
    <x v="0"/>
    <n v="0"/>
    <n v="36526"/>
    <n v="0"/>
    <n v="0"/>
    <n v="0"/>
    <n v="12087.89"/>
    <n v="10892.51"/>
    <n v="-9.889070797302093"/>
    <n v="0"/>
    <n v="0"/>
    <n v="0"/>
  </r>
  <r>
    <x v="0"/>
    <s v="Water"/>
    <x v="85"/>
    <x v="0"/>
    <n v="124682"/>
    <n v="36526"/>
    <n v="0"/>
    <n v="0"/>
    <n v="0"/>
    <n v="11817.81"/>
    <n v="10353.94"/>
    <n v="-12.38698202120359"/>
    <n v="0"/>
    <n v="0"/>
    <n v="0"/>
  </r>
  <r>
    <x v="0"/>
    <s v="Water"/>
    <x v="86"/>
    <x v="1"/>
    <n v="107075"/>
    <n v="36526"/>
    <n v="0"/>
    <n v="0"/>
    <n v="0"/>
    <n v="8849.7"/>
    <n v="10466.48"/>
    <n v="18.26931986395019"/>
    <n v="0"/>
    <n v="0"/>
    <n v="0"/>
  </r>
  <r>
    <x v="0"/>
    <s v="Water"/>
    <x v="87"/>
    <x v="0"/>
    <n v="88192"/>
    <n v="36526"/>
    <n v="0"/>
    <n v="0"/>
    <n v="0"/>
    <n v="12821.56"/>
    <n v="14436.37"/>
    <n v="12.594489282115438"/>
    <n v="0"/>
    <n v="0"/>
    <n v="0"/>
  </r>
  <r>
    <x v="0"/>
    <s v="Water"/>
    <x v="88"/>
    <x v="2"/>
    <n v="74252"/>
    <n v="36526"/>
    <n v="0"/>
    <n v="0"/>
    <n v="0"/>
    <n v="6918.04"/>
    <n v="8292.69"/>
    <n v="19.87051245728559"/>
    <n v="0"/>
    <n v="0"/>
    <n v="0"/>
  </r>
  <r>
    <x v="0"/>
    <s v="Water"/>
    <x v="91"/>
    <x v="0"/>
    <n v="83355"/>
    <n v="36526"/>
    <n v="0"/>
    <n v="0"/>
    <n v="0"/>
    <n v="3039.15"/>
    <n v="10982.05"/>
    <n v="261.3526808482635"/>
    <n v="0"/>
    <n v="0"/>
    <n v="0"/>
  </r>
  <r>
    <x v="0"/>
    <s v="Water"/>
    <x v="92"/>
    <x v="0"/>
    <n v="84893"/>
    <n v="36526"/>
    <n v="0"/>
    <n v="0"/>
    <n v="0"/>
    <n v="5639.31"/>
    <n v="7076.13"/>
    <n v="25.478648983652256"/>
    <n v="0"/>
    <n v="0"/>
    <n v="0"/>
  </r>
  <r>
    <x v="0"/>
    <s v="Water"/>
    <x v="93"/>
    <x v="2"/>
    <n v="112970"/>
    <n v="36526"/>
    <n v="0"/>
    <n v="0"/>
    <n v="0"/>
    <n v="6049.95"/>
    <n v="6358.8"/>
    <n v="5.105000867775766"/>
    <n v="0"/>
    <n v="0"/>
    <n v="0"/>
  </r>
  <r>
    <x v="0"/>
    <s v="Water"/>
    <x v="94"/>
    <x v="0"/>
    <n v="104852"/>
    <n v="36526"/>
    <n v="0"/>
    <n v="0"/>
    <n v="0"/>
    <n v="10030.81"/>
    <n v="11352.35"/>
    <n v="13.174808415272546"/>
    <n v="0"/>
    <n v="0"/>
    <n v="0"/>
  </r>
  <r>
    <x v="0"/>
    <s v="Water"/>
    <x v="95"/>
    <x v="2"/>
    <n v="100456"/>
    <n v="36526"/>
    <n v="0"/>
    <n v="0"/>
    <n v="0"/>
    <n v="8932.8"/>
    <n v="6987.08"/>
    <n v="-21.781748164069494"/>
    <n v="0"/>
    <n v="0"/>
    <n v="0"/>
  </r>
  <r>
    <x v="0"/>
    <s v="Water"/>
    <x v="98"/>
    <x v="0"/>
    <n v="90012"/>
    <n v="36526"/>
    <n v="0"/>
    <n v="0"/>
    <n v="0"/>
    <n v="7276.8"/>
    <n v="6583.65"/>
    <n v="-9.525478232189974"/>
    <n v="0"/>
    <n v="0"/>
    <n v="0"/>
  </r>
  <r>
    <x v="0"/>
    <s v="Water"/>
    <x v="99"/>
    <x v="2"/>
    <n v="110549"/>
    <n v="36526"/>
    <n v="0"/>
    <n v="0"/>
    <n v="0"/>
    <n v="3533.34"/>
    <n v="8830.9"/>
    <n v="149.9306605081877"/>
    <n v="0"/>
    <n v="0"/>
    <n v="0"/>
  </r>
  <r>
    <x v="0"/>
    <s v="Water"/>
    <x v="100"/>
    <x v="1"/>
    <n v="96996"/>
    <n v="36526"/>
    <n v="0"/>
    <n v="0"/>
    <n v="0"/>
    <n v="5156.48"/>
    <n v="6352.26"/>
    <n v="23.18985044061065"/>
    <n v="0"/>
    <n v="0"/>
    <n v="0"/>
  </r>
  <r>
    <x v="0"/>
    <s v="Water"/>
    <x v="101"/>
    <x v="2"/>
    <n v="92346"/>
    <n v="36526"/>
    <n v="0"/>
    <n v="0"/>
    <n v="0"/>
    <n v="7237.61"/>
    <n v="7012.42"/>
    <n v="-3.1113862172733815"/>
    <n v="0"/>
    <n v="0"/>
    <n v="0"/>
  </r>
  <r>
    <x v="2"/>
    <s v="Water"/>
    <x v="102"/>
    <x v="2"/>
    <n v="240580"/>
    <n v="36526"/>
    <n v="0"/>
    <n v="0"/>
    <n v="0"/>
    <n v="12925.6"/>
    <n v="14171.7"/>
    <n v="9.640558271956428"/>
    <n v="0"/>
    <n v="0"/>
    <n v="0"/>
  </r>
  <r>
    <x v="0"/>
    <s v="Water"/>
    <x v="103"/>
    <x v="2"/>
    <n v="96096"/>
    <n v="36526"/>
    <n v="0"/>
    <n v="0"/>
    <n v="0"/>
    <n v="7574.8"/>
    <n v="7855.2"/>
    <n v="3.7017479009346785"/>
    <n v="0"/>
    <n v="0"/>
    <n v="0"/>
  </r>
  <r>
    <x v="3"/>
    <s v="Water"/>
    <x v="104"/>
    <x v="2"/>
    <n v="22020"/>
    <n v="36526"/>
    <n v="0"/>
    <n v="0"/>
    <n v="0"/>
    <n v="527.15"/>
    <n v="469.82"/>
    <n v="-10.87546239210851"/>
    <n v="0"/>
    <n v="0"/>
    <n v="0"/>
  </r>
  <r>
    <x v="0"/>
    <s v="Water"/>
    <x v="105"/>
    <x v="1"/>
    <n v="91338"/>
    <n v="36526"/>
    <n v="0"/>
    <n v="0"/>
    <n v="0"/>
    <n v="8800.51"/>
    <n v="8232.08"/>
    <n v="-6.459057486441127"/>
    <n v="0"/>
    <n v="0"/>
    <n v="0"/>
  </r>
  <r>
    <x v="2"/>
    <s v="Water"/>
    <x v="106"/>
    <x v="2"/>
    <n v="227015"/>
    <n v="36526"/>
    <n v="0"/>
    <n v="0"/>
    <n v="0"/>
    <n v="9709.3"/>
    <n v="11512.14"/>
    <n v="18.568176902557344"/>
    <n v="0"/>
    <n v="0"/>
    <n v="0"/>
  </r>
  <r>
    <x v="2"/>
    <s v="Water"/>
    <x v="107"/>
    <x v="2"/>
    <n v="235889"/>
    <n v="36526"/>
    <n v="0"/>
    <n v="0"/>
    <n v="0"/>
    <n v="8043.27"/>
    <n v="8555.62"/>
    <n v="6.3699216860804135"/>
    <n v="0"/>
    <n v="0"/>
    <n v="0"/>
  </r>
  <r>
    <x v="0"/>
    <s v="Water"/>
    <x v="108"/>
    <x v="2"/>
    <n v="107914"/>
    <n v="36526"/>
    <n v="0"/>
    <n v="0"/>
    <n v="0"/>
    <n v="6032.8"/>
    <n v="6326.4"/>
    <n v="4.866728550590107"/>
    <n v="0"/>
    <n v="0"/>
    <n v="0"/>
  </r>
  <r>
    <x v="2"/>
    <s v="Water"/>
    <x v="110"/>
    <x v="1"/>
    <n v="194432"/>
    <n v="36526"/>
    <n v="0"/>
    <n v="0"/>
    <n v="0"/>
    <n v="23659.67"/>
    <n v="25899.8"/>
    <n v="9.468137129554215"/>
    <n v="0"/>
    <n v="0"/>
    <n v="0"/>
  </r>
  <r>
    <x v="0"/>
    <s v="Water"/>
    <x v="111"/>
    <x v="0"/>
    <n v="101727"/>
    <n v="36526"/>
    <n v="0"/>
    <n v="0"/>
    <n v="0"/>
    <n v="8592.6"/>
    <n v="9857.26"/>
    <n v="14.718013174126575"/>
    <n v="0"/>
    <n v="0"/>
    <n v="0"/>
  </r>
  <r>
    <x v="2"/>
    <s v="Water"/>
    <x v="112"/>
    <x v="0"/>
    <n v="208340"/>
    <n v="36526"/>
    <n v="0"/>
    <n v="0"/>
    <n v="0"/>
    <n v="14230.32"/>
    <n v="15981.36"/>
    <n v="12.30499384413"/>
    <n v="0"/>
    <n v="0"/>
    <n v="0"/>
  </r>
  <r>
    <x v="0"/>
    <s v="Water"/>
    <x v="113"/>
    <x v="1"/>
    <n v="98490"/>
    <n v="36526"/>
    <n v="0"/>
    <n v="0"/>
    <n v="0"/>
    <n v="7409.6"/>
    <n v="7080.18"/>
    <n v="-4.445854027207947"/>
    <n v="0"/>
    <n v="0"/>
    <n v="0"/>
  </r>
  <r>
    <x v="0"/>
    <s v="Water"/>
    <x v="114"/>
    <x v="2"/>
    <n v="99987"/>
    <n v="36526"/>
    <n v="0"/>
    <n v="0"/>
    <n v="0"/>
    <n v="9787.61"/>
    <n v="11178.31"/>
    <n v="14.208780284461682"/>
    <n v="0"/>
    <n v="0"/>
    <n v="0"/>
  </r>
  <r>
    <x v="2"/>
    <s v="Water"/>
    <x v="115"/>
    <x v="0"/>
    <n v="217165"/>
    <n v="36526"/>
    <n v="0"/>
    <n v="0"/>
    <n v="0"/>
    <n v="19737.58"/>
    <n v="31040.02"/>
    <n v="57.263555106553085"/>
    <n v="0"/>
    <n v="0"/>
    <n v="0"/>
  </r>
  <r>
    <x v="0"/>
    <s v="Water"/>
    <x v="116"/>
    <x v="2"/>
    <n v="122878"/>
    <n v="36526"/>
    <n v="0"/>
    <n v="0"/>
    <n v="0"/>
    <n v="6196.85"/>
    <n v="6744.21"/>
    <n v="8.832874767018728"/>
    <n v="0"/>
    <n v="0"/>
    <n v="0"/>
  </r>
  <r>
    <x v="3"/>
    <s v="Water"/>
    <x v="117"/>
    <x v="2"/>
    <n v="20124"/>
    <n v="36526"/>
    <n v="0"/>
    <n v="0"/>
    <n v="0"/>
    <n v="799.03"/>
    <n v="1120.54"/>
    <n v="40.237538014843"/>
    <n v="0"/>
    <n v="0"/>
    <n v="0"/>
  </r>
  <r>
    <x v="3"/>
    <s v="Water"/>
    <x v="118"/>
    <x v="2"/>
    <n v="45340"/>
    <n v="36526"/>
    <n v="0"/>
    <n v="0"/>
    <n v="0"/>
    <n v="2128.16"/>
    <n v="2400.08"/>
    <n v="12.777234794376364"/>
    <n v="0"/>
    <n v="0"/>
    <n v="0"/>
  </r>
  <r>
    <x v="0"/>
    <s v="Water"/>
    <x v="119"/>
    <x v="0"/>
    <n v="89993"/>
    <n v="36526"/>
    <n v="0"/>
    <n v="0"/>
    <n v="0"/>
    <n v="8587.27"/>
    <n v="4289.04"/>
    <n v="-50.05350943897188"/>
    <n v="0"/>
    <n v="0"/>
    <n v="0"/>
  </r>
  <r>
    <x v="0"/>
    <s v="Water"/>
    <x v="120"/>
    <x v="0"/>
    <n v="84992"/>
    <n v="36526"/>
    <n v="0"/>
    <n v="0"/>
    <n v="0"/>
    <n v="6729.4"/>
    <n v="6727.7"/>
    <n v="-0.025262281927066307"/>
    <n v="0"/>
    <n v="0"/>
    <n v="0"/>
  </r>
  <r>
    <x v="0"/>
    <s v="Water"/>
    <x v="123"/>
    <x v="2"/>
    <n v="115438"/>
    <n v="36526"/>
    <n v="0"/>
    <n v="0"/>
    <n v="0"/>
    <n v="6964.3"/>
    <n v="7176.09"/>
    <n v="3.041080941372428"/>
    <n v="0"/>
    <n v="0"/>
    <n v="0"/>
  </r>
  <r>
    <x v="0"/>
    <s v="Water"/>
    <x v="124"/>
    <x v="0"/>
    <n v="81794"/>
    <n v="36526"/>
    <n v="0"/>
    <n v="0"/>
    <n v="0"/>
    <n v="8563.24"/>
    <n v="8358.16"/>
    <n v="-2.3948879162559966"/>
    <n v="0"/>
    <n v="0"/>
    <n v="0"/>
  </r>
  <r>
    <x v="0"/>
    <s v="Water"/>
    <x v="0"/>
    <x v="0"/>
    <n v="109321"/>
    <n v="36526"/>
    <n v="0"/>
    <n v="0"/>
    <n v="0"/>
    <n v="11749.86"/>
    <n v="5597.38"/>
    <n v="-52.36215580440958"/>
    <n v="0"/>
    <n v="0"/>
    <n v="0"/>
  </r>
  <r>
    <x v="1"/>
    <s v="Water"/>
    <x v="2"/>
    <x v="1"/>
    <n v="50839"/>
    <n v="36526"/>
    <n v="0"/>
    <n v="0"/>
    <n v="0"/>
    <n v="2634.65"/>
    <n v="2304"/>
    <n v="-12.550054086880609"/>
    <n v="0"/>
    <n v="0"/>
    <n v="0"/>
  </r>
  <r>
    <x v="0"/>
    <s v="Water"/>
    <x v="3"/>
    <x v="2"/>
    <n v="107836"/>
    <n v="36526"/>
    <n v="0"/>
    <n v="0"/>
    <n v="0"/>
    <n v="5471.23"/>
    <n v="15380.63"/>
    <n v="181.1183225709758"/>
    <n v="0"/>
    <n v="0"/>
    <n v="0"/>
  </r>
  <r>
    <x v="2"/>
    <s v="Water"/>
    <x v="4"/>
    <x v="2"/>
    <n v="244123"/>
    <n v="36526"/>
    <n v="0"/>
    <n v="0"/>
    <n v="0"/>
    <n v="27688.08"/>
    <n v="25957.61"/>
    <n v="-6.249873591812794"/>
    <n v="0"/>
    <n v="0"/>
    <n v="0"/>
  </r>
  <r>
    <x v="2"/>
    <s v="Water"/>
    <x v="5"/>
    <x v="0"/>
    <n v="219821"/>
    <n v="36526"/>
    <n v="0"/>
    <n v="0"/>
    <n v="0"/>
    <n v="12414.76"/>
    <n v="11625.63"/>
    <n v="-6.356385463754434"/>
    <n v="0"/>
    <n v="0"/>
    <n v="0"/>
  </r>
  <r>
    <x v="0"/>
    <s v="Water"/>
    <x v="7"/>
    <x v="2"/>
    <n v="89416"/>
    <n v="36526"/>
    <n v="0"/>
    <n v="0"/>
    <n v="0"/>
    <n v="578.7"/>
    <n v="7126.5"/>
    <n v="1131.467081389321"/>
    <n v="0"/>
    <n v="0"/>
    <n v="0"/>
  </r>
  <r>
    <x v="0"/>
    <s v="Water"/>
    <x v="8"/>
    <x v="0"/>
    <n v="106804"/>
    <n v="36526"/>
    <n v="0"/>
    <n v="0"/>
    <n v="0"/>
    <n v="10190.66"/>
    <n v="7872.39"/>
    <n v="-22.748968172817072"/>
    <n v="0"/>
    <n v="0"/>
    <n v="0"/>
  </r>
  <r>
    <x v="0"/>
    <s v="Water"/>
    <x v="9"/>
    <x v="0"/>
    <n v="85320"/>
    <n v="36526"/>
    <n v="0"/>
    <n v="0"/>
    <n v="0"/>
    <n v="10068.63"/>
    <n v="9750.94"/>
    <n v="-3.1552455497917786"/>
    <n v="0"/>
    <n v="0"/>
    <n v="0"/>
  </r>
  <r>
    <x v="3"/>
    <s v="Water"/>
    <x v="10"/>
    <x v="0"/>
    <n v="22677"/>
    <n v="36526"/>
    <n v="0"/>
    <n v="0"/>
    <n v="0"/>
    <n v="2214.72"/>
    <n v="5235.15"/>
    <n v="136.3797680970958"/>
    <n v="0"/>
    <n v="0"/>
    <n v="0"/>
  </r>
  <r>
    <x v="3"/>
    <s v="Water"/>
    <x v="11"/>
    <x v="2"/>
    <n v="491434"/>
    <n v="36526"/>
    <n v="0"/>
    <n v="0"/>
    <n v="0"/>
    <n v="47433.1"/>
    <n v="38259.53"/>
    <n v="-19.340017835646414"/>
    <n v="0"/>
    <n v="0"/>
    <n v="0"/>
  </r>
  <r>
    <x v="0"/>
    <s v="Water"/>
    <x v="12"/>
    <x v="0"/>
    <n v="106488"/>
    <n v="36526"/>
    <n v="0"/>
    <n v="0"/>
    <n v="0"/>
    <n v="9593.24"/>
    <n v="6858.38"/>
    <n v="-28.50819952383136"/>
    <n v="0"/>
    <n v="0"/>
    <n v="0"/>
  </r>
  <r>
    <x v="0"/>
    <s v="Water"/>
    <x v="13"/>
    <x v="2"/>
    <n v="97384"/>
    <n v="36526"/>
    <n v="0"/>
    <n v="0"/>
    <n v="0"/>
    <n v="12852.02"/>
    <n v="14358.95"/>
    <n v="11.725238522815868"/>
    <n v="0"/>
    <n v="0"/>
    <n v="0"/>
  </r>
  <r>
    <x v="2"/>
    <s v="Water"/>
    <x v="14"/>
    <x v="0"/>
    <n v="229363"/>
    <n v="36526"/>
    <n v="0"/>
    <n v="0"/>
    <n v="0"/>
    <n v="10734.01"/>
    <n v="10645.4"/>
    <n v="-0.82550696338088"/>
    <n v="0"/>
    <n v="0"/>
    <n v="0"/>
  </r>
  <r>
    <x v="3"/>
    <s v="Water"/>
    <x v="15"/>
    <x v="2"/>
    <n v="18144"/>
    <n v="36526"/>
    <n v="0"/>
    <n v="0"/>
    <n v="0"/>
    <n v="381.9"/>
    <n v="494.6"/>
    <n v="29.510343021733437"/>
    <n v="0"/>
    <n v="0"/>
    <n v="0"/>
  </r>
  <r>
    <x v="4"/>
    <s v="Water"/>
    <x v="16"/>
    <x v="2"/>
    <n v="573468"/>
    <n v="36526"/>
    <n v="0"/>
    <n v="0"/>
    <n v="0"/>
    <n v="21017.19"/>
    <n v="39258.5"/>
    <n v="86.7923352265455"/>
    <n v="0"/>
    <n v="0"/>
    <n v="0"/>
  </r>
  <r>
    <x v="2"/>
    <s v="Water"/>
    <x v="19"/>
    <x v="0"/>
    <n v="204629"/>
    <n v="36526"/>
    <n v="0"/>
    <n v="0"/>
    <n v="0"/>
    <n v="15159.7"/>
    <n v="14293.95"/>
    <n v="-5.710864990732007"/>
    <n v="0"/>
    <n v="0"/>
    <n v="0"/>
  </r>
  <r>
    <x v="0"/>
    <s v="Water"/>
    <x v="20"/>
    <x v="0"/>
    <n v="86318"/>
    <n v="36526"/>
    <n v="0"/>
    <n v="0"/>
    <n v="0"/>
    <n v="8507.46"/>
    <n v="10511.31"/>
    <n v="23.554033753905397"/>
    <n v="0"/>
    <n v="0"/>
    <n v="0"/>
  </r>
  <r>
    <x v="4"/>
    <s v="Water"/>
    <x v="21"/>
    <x v="0"/>
    <n v="525576"/>
    <n v="36526"/>
    <n v="0"/>
    <n v="0"/>
    <n v="0"/>
    <n v="56170.74"/>
    <n v="43922.02"/>
    <n v="-21.806228652141666"/>
    <n v="0"/>
    <n v="0"/>
    <n v="0"/>
  </r>
  <r>
    <x v="3"/>
    <s v="Water"/>
    <x v="125"/>
    <x v="2"/>
    <n v="0"/>
    <n v="36526"/>
    <n v="0"/>
    <n v="0"/>
    <n v="0"/>
    <n v="77074.8"/>
    <n v="70989.75"/>
    <n v="-7.894992915972535"/>
    <n v="0"/>
    <n v="0"/>
    <n v="0"/>
  </r>
  <r>
    <x v="4"/>
    <s v="Water"/>
    <x v="25"/>
    <x v="0"/>
    <n v="578719"/>
    <n v="36526"/>
    <n v="0"/>
    <n v="0"/>
    <n v="0"/>
    <n v="46541.91"/>
    <n v="37392.55"/>
    <n v="-19.658325152534566"/>
    <n v="0"/>
    <n v="0"/>
    <n v="0"/>
  </r>
  <r>
    <x v="4"/>
    <s v="Water"/>
    <x v="26"/>
    <x v="1"/>
    <n v="520212"/>
    <n v="36526"/>
    <n v="0"/>
    <n v="0"/>
    <n v="0"/>
    <n v="37914.71"/>
    <n v="38320.36"/>
    <n v="1.0699013654594747"/>
    <n v="0"/>
    <n v="0"/>
    <n v="0"/>
  </r>
  <r>
    <x v="4"/>
    <s v="Water"/>
    <x v="27"/>
    <x v="2"/>
    <n v="590057"/>
    <n v="36526"/>
    <n v="0"/>
    <n v="0"/>
    <n v="0"/>
    <n v="36907"/>
    <n v="28392.15"/>
    <n v="-23.07109762375701"/>
    <n v="0"/>
    <n v="0"/>
    <n v="0"/>
  </r>
  <r>
    <x v="4"/>
    <s v="Water"/>
    <x v="28"/>
    <x v="2"/>
    <n v="530203"/>
    <n v="36526"/>
    <n v="0"/>
    <n v="0"/>
    <n v="0"/>
    <n v="51584.88"/>
    <n v="41007.88"/>
    <n v="-20.504070184906894"/>
    <n v="0"/>
    <n v="0"/>
    <n v="0"/>
  </r>
  <r>
    <x v="4"/>
    <s v="Water"/>
    <x v="29"/>
    <x v="0"/>
    <n v="497661"/>
    <n v="36526"/>
    <n v="0"/>
    <n v="0"/>
    <n v="0"/>
    <n v="38012.57"/>
    <n v="38502.02"/>
    <n v="1.287600391133775"/>
    <n v="0"/>
    <n v="0"/>
    <n v="0"/>
  </r>
  <r>
    <x v="4"/>
    <s v="Water"/>
    <x v="30"/>
    <x v="2"/>
    <n v="477795"/>
    <n v="36526"/>
    <n v="0"/>
    <n v="0"/>
    <n v="0"/>
    <n v="73697.62"/>
    <n v="84647.4"/>
    <n v="14.857711822986957"/>
    <n v="0"/>
    <n v="0"/>
    <n v="0"/>
  </r>
  <r>
    <x v="4"/>
    <s v="Water"/>
    <x v="31"/>
    <x v="2"/>
    <n v="535914"/>
    <n v="36526"/>
    <n v="0"/>
    <n v="0"/>
    <n v="0"/>
    <n v="27474.74"/>
    <n v="29610.54"/>
    <n v="7.773685938429264"/>
    <n v="0"/>
    <n v="0"/>
    <n v="0"/>
  </r>
  <r>
    <x v="0"/>
    <s v="Water"/>
    <x v="32"/>
    <x v="0"/>
    <n v="99588"/>
    <n v="36526"/>
    <n v="0"/>
    <n v="0"/>
    <n v="0"/>
    <n v="8379.58"/>
    <n v="8722.35"/>
    <n v="4.090539143966643"/>
    <n v="0"/>
    <n v="0"/>
    <n v="0"/>
  </r>
  <r>
    <x v="2"/>
    <s v="Water"/>
    <x v="33"/>
    <x v="0"/>
    <n v="213572"/>
    <n v="36526"/>
    <n v="0"/>
    <n v="0"/>
    <n v="0"/>
    <n v="10885.55"/>
    <n v="17266.83"/>
    <n v="58.62156712338835"/>
    <n v="0"/>
    <n v="0"/>
    <n v="0"/>
  </r>
  <r>
    <x v="0"/>
    <s v="Water"/>
    <x v="34"/>
    <x v="1"/>
    <n v="97959"/>
    <n v="36526"/>
    <n v="0"/>
    <n v="0"/>
    <n v="0"/>
    <n v="10681.82"/>
    <n v="11177.1"/>
    <n v="4.636663040567993"/>
    <n v="0"/>
    <n v="0"/>
    <n v="0"/>
  </r>
  <r>
    <x v="3"/>
    <s v="Water"/>
    <x v="35"/>
    <x v="0"/>
    <n v="6832"/>
    <n v="36526"/>
    <n v="0"/>
    <n v="0"/>
    <n v="0"/>
    <n v="1142.79"/>
    <n v="945.3"/>
    <n v="-17.281390281679048"/>
    <n v="0"/>
    <n v="0"/>
    <n v="0"/>
  </r>
  <r>
    <x v="3"/>
    <s v="Water"/>
    <x v="36"/>
    <x v="0"/>
    <n v="4573"/>
    <n v="36526"/>
    <n v="0"/>
    <n v="0"/>
    <n v="0"/>
    <n v="1247.31"/>
    <n v="912.82"/>
    <n v="-26.816909990299123"/>
    <n v="0"/>
    <n v="0"/>
    <n v="0"/>
  </r>
  <r>
    <x v="3"/>
    <s v="Water"/>
    <x v="37"/>
    <x v="0"/>
    <n v="26451"/>
    <n v="36526"/>
    <n v="0"/>
    <n v="0"/>
    <n v="0"/>
    <n v="4931.85"/>
    <n v="4362.4"/>
    <n v="-11.546377120147612"/>
    <n v="0"/>
    <n v="0"/>
    <n v="0"/>
  </r>
  <r>
    <x v="0"/>
    <s v="Water"/>
    <x v="38"/>
    <x v="1"/>
    <n v="95366"/>
    <n v="36526"/>
    <n v="0"/>
    <n v="0"/>
    <n v="0"/>
    <n v="8992.78"/>
    <n v="36517.9"/>
    <n v="306.08021101372435"/>
    <n v="0"/>
    <n v="0"/>
    <n v="0"/>
  </r>
  <r>
    <x v="0"/>
    <s v="Water"/>
    <x v="39"/>
    <x v="0"/>
    <n v="76544"/>
    <n v="36526"/>
    <n v="0"/>
    <n v="0"/>
    <n v="0"/>
    <n v="5148.5"/>
    <n v="10467.9"/>
    <n v="103.31941342138487"/>
    <n v="0"/>
    <n v="0"/>
    <n v="0"/>
  </r>
  <r>
    <x v="3"/>
    <s v="Water"/>
    <x v="42"/>
    <x v="0"/>
    <n v="0"/>
    <n v="36526"/>
    <n v="0"/>
    <n v="0"/>
    <n v="0"/>
    <n v="83978.49"/>
    <n v="101883.21"/>
    <n v="21.320602454271324"/>
    <n v="0"/>
    <n v="0"/>
    <n v="0"/>
  </r>
  <r>
    <x v="0"/>
    <s v="Water"/>
    <x v="43"/>
    <x v="2"/>
    <n v="95036"/>
    <n v="36526"/>
    <n v="0"/>
    <n v="0"/>
    <n v="0"/>
    <n v="13480.33"/>
    <n v="9054.04"/>
    <n v="-32.83517540000875"/>
    <n v="0"/>
    <n v="0"/>
    <n v="0"/>
  </r>
  <r>
    <x v="0"/>
    <s v="Water"/>
    <x v="44"/>
    <x v="0"/>
    <n v="91621"/>
    <n v="36526"/>
    <n v="0"/>
    <n v="0"/>
    <n v="0"/>
    <n v="12021.84"/>
    <n v="12098.77"/>
    <n v="0.6399186813333066"/>
    <n v="0"/>
    <n v="0"/>
    <n v="0"/>
  </r>
  <r>
    <x v="0"/>
    <s v="Water"/>
    <x v="47"/>
    <x v="0"/>
    <n v="90518"/>
    <n v="36526"/>
    <n v="0"/>
    <n v="0"/>
    <n v="0"/>
    <n v="5463.13"/>
    <n v="4704.56"/>
    <n v="-13.885263576008624"/>
    <n v="0"/>
    <n v="0"/>
    <n v="0"/>
  </r>
  <r>
    <x v="0"/>
    <s v="Water"/>
    <x v="48"/>
    <x v="0"/>
    <n v="85844"/>
    <n v="36526"/>
    <n v="0"/>
    <n v="0"/>
    <n v="0"/>
    <n v="3008.95"/>
    <n v="2045.15"/>
    <n v="-32.03110719686269"/>
    <n v="0"/>
    <n v="0"/>
    <n v="0"/>
  </r>
  <r>
    <x v="0"/>
    <s v="Water"/>
    <x v="49"/>
    <x v="0"/>
    <n v="91424"/>
    <n v="36526"/>
    <n v="0"/>
    <n v="0"/>
    <n v="0"/>
    <n v="7158.18"/>
    <n v="6679.3"/>
    <n v="-6.689968679189403"/>
    <n v="0"/>
    <n v="0"/>
    <n v="0"/>
  </r>
  <r>
    <x v="2"/>
    <s v="Water"/>
    <x v="50"/>
    <x v="2"/>
    <n v="218801"/>
    <n v="36526"/>
    <n v="0"/>
    <n v="0"/>
    <n v="0"/>
    <n v="21174.92"/>
    <n v="25161.6"/>
    <n v="18.82736747057368"/>
    <n v="0"/>
    <n v="0"/>
    <n v="0"/>
  </r>
  <r>
    <x v="0"/>
    <s v="Water"/>
    <x v="51"/>
    <x v="0"/>
    <n v="85052"/>
    <n v="36526"/>
    <n v="0"/>
    <n v="0"/>
    <n v="0"/>
    <n v="10180.78"/>
    <n v="9516.72"/>
    <n v="-6.522682937849555"/>
    <n v="0"/>
    <n v="0"/>
    <n v="0"/>
  </r>
  <r>
    <x v="0"/>
    <s v="Water"/>
    <x v="52"/>
    <x v="2"/>
    <n v="85650"/>
    <n v="36526"/>
    <n v="0"/>
    <n v="0"/>
    <n v="0"/>
    <n v="9518.23"/>
    <n v="7212.81"/>
    <n v="-24.221099931394807"/>
    <n v="0"/>
    <n v="0"/>
    <n v="0"/>
  </r>
  <r>
    <x v="2"/>
    <s v="Water"/>
    <x v="53"/>
    <x v="2"/>
    <n v="192751"/>
    <n v="36526"/>
    <n v="0"/>
    <n v="0"/>
    <n v="0"/>
    <n v="24280.88"/>
    <n v="20196.06"/>
    <n v="-16.8231958644003"/>
    <n v="0"/>
    <n v="0"/>
    <n v="0"/>
  </r>
  <r>
    <x v="0"/>
    <s v="Water"/>
    <x v="54"/>
    <x v="0"/>
    <n v="88795"/>
    <n v="36526"/>
    <n v="0"/>
    <n v="0"/>
    <n v="0"/>
    <n v="7261.18"/>
    <n v="7192.93"/>
    <n v="-0.9399298736568987"/>
    <n v="0"/>
    <n v="0"/>
    <n v="0"/>
  </r>
  <r>
    <x v="0"/>
    <s v="Water"/>
    <x v="55"/>
    <x v="1"/>
    <n v="96483"/>
    <n v="36526"/>
    <n v="0"/>
    <n v="0"/>
    <n v="0"/>
    <n v="7685.11"/>
    <n v="7887"/>
    <n v="2.627028110202717"/>
    <n v="0"/>
    <n v="0"/>
    <n v="0"/>
  </r>
  <r>
    <x v="0"/>
    <s v="Water"/>
    <x v="56"/>
    <x v="0"/>
    <n v="99937"/>
    <n v="36526"/>
    <n v="0"/>
    <n v="0"/>
    <n v="0"/>
    <n v="14817.8"/>
    <n v="13240.57"/>
    <n v="-10.644157702223001"/>
    <n v="0"/>
    <n v="0"/>
    <n v="0"/>
  </r>
  <r>
    <x v="0"/>
    <s v="Water"/>
    <x v="57"/>
    <x v="0"/>
    <n v="81704"/>
    <n v="36526"/>
    <n v="0"/>
    <n v="0"/>
    <n v="0"/>
    <n v="5454.83"/>
    <n v="7858.38"/>
    <n v="44.06278472473019"/>
    <n v="0"/>
    <n v="0"/>
    <n v="0"/>
  </r>
  <r>
    <x v="0"/>
    <s v="Water"/>
    <x v="58"/>
    <x v="1"/>
    <n v="112519"/>
    <n v="36526"/>
    <n v="0"/>
    <n v="0"/>
    <n v="0"/>
    <n v="6920.4"/>
    <n v="5467.5"/>
    <n v="-20.994451187792617"/>
    <n v="0"/>
    <n v="0"/>
    <n v="0"/>
  </r>
  <r>
    <x v="2"/>
    <s v="Water"/>
    <x v="59"/>
    <x v="2"/>
    <n v="226178"/>
    <n v="36526"/>
    <n v="0"/>
    <n v="0"/>
    <n v="0"/>
    <n v="25079.22"/>
    <n v="26680.6"/>
    <n v="6.385286304757484"/>
    <n v="0"/>
    <n v="0"/>
    <n v="0"/>
  </r>
  <r>
    <x v="0"/>
    <s v="Water"/>
    <x v="60"/>
    <x v="0"/>
    <n v="87881"/>
    <n v="36526"/>
    <n v="0"/>
    <n v="0"/>
    <n v="0"/>
    <n v="6659.52"/>
    <n v="7166.8"/>
    <n v="7.617365816154918"/>
    <n v="0"/>
    <n v="0"/>
    <n v="0"/>
  </r>
  <r>
    <x v="3"/>
    <s v="Water"/>
    <x v="61"/>
    <x v="0"/>
    <n v="132467"/>
    <n v="36526"/>
    <n v="0"/>
    <n v="0"/>
    <n v="0"/>
    <n v="7091.93"/>
    <n v="7756.05"/>
    <n v="9.364446631593939"/>
    <n v="0"/>
    <n v="0"/>
    <n v="0"/>
  </r>
  <r>
    <x v="3"/>
    <s v="Water"/>
    <x v="68"/>
    <x v="0"/>
    <n v="35364"/>
    <n v="36526"/>
    <n v="0"/>
    <n v="0"/>
    <n v="0"/>
    <n v="1475.76"/>
    <n v="1203.06"/>
    <n v="-18.47861440884697"/>
    <n v="0"/>
    <n v="0"/>
    <n v="0"/>
  </r>
  <r>
    <x v="3"/>
    <s v="Water"/>
    <x v="69"/>
    <x v="2"/>
    <n v="12152"/>
    <n v="36526"/>
    <n v="0"/>
    <n v="0"/>
    <n v="0"/>
    <n v="22089.87"/>
    <n v="36472.92"/>
    <n v="65.11151944307504"/>
    <n v="0"/>
    <n v="0"/>
    <n v="0"/>
  </r>
  <r>
    <x v="4"/>
    <s v="Water"/>
    <x v="70"/>
    <x v="0"/>
    <n v="510425"/>
    <n v="36526"/>
    <n v="0"/>
    <n v="0"/>
    <n v="0"/>
    <n v="25857.49"/>
    <n v="29581.17"/>
    <n v="14.400779039264833"/>
    <n v="0"/>
    <n v="0"/>
    <n v="0"/>
  </r>
  <r>
    <x v="0"/>
    <s v="Water"/>
    <x v="72"/>
    <x v="1"/>
    <n v="73726"/>
    <n v="36526"/>
    <n v="0"/>
    <n v="0"/>
    <n v="0"/>
    <n v="3827.3"/>
    <n v="3307.85"/>
    <n v="-13.572231076738172"/>
    <n v="0"/>
    <n v="0"/>
    <n v="0"/>
  </r>
  <r>
    <x v="2"/>
    <s v="Water"/>
    <x v="73"/>
    <x v="0"/>
    <n v="221601"/>
    <n v="36526"/>
    <n v="0"/>
    <n v="0"/>
    <n v="0"/>
    <n v="17773.9"/>
    <n v="17567.4"/>
    <n v="-1.1618159210977894"/>
    <n v="0"/>
    <n v="0"/>
    <n v="0"/>
  </r>
  <r>
    <x v="0"/>
    <s v="Water"/>
    <x v="74"/>
    <x v="2"/>
    <n v="95518"/>
    <n v="36526"/>
    <n v="0"/>
    <n v="0"/>
    <n v="0"/>
    <n v="6220"/>
    <n v="6359.25"/>
    <n v="2.2387459807073955"/>
    <n v="0"/>
    <n v="0"/>
    <n v="0"/>
  </r>
  <r>
    <x v="0"/>
    <s v="Water"/>
    <x v="75"/>
    <x v="0"/>
    <n v="93897"/>
    <n v="36526"/>
    <n v="0"/>
    <n v="0"/>
    <n v="0"/>
    <n v="6996.88"/>
    <n v="8274.7"/>
    <n v="18.26271137992934"/>
    <n v="0"/>
    <n v="0"/>
    <n v="0"/>
  </r>
  <r>
    <x v="2"/>
    <s v="Water"/>
    <x v="76"/>
    <x v="0"/>
    <n v="189290"/>
    <n v="36526"/>
    <n v="0"/>
    <n v="0"/>
    <n v="0"/>
    <n v="12764.5"/>
    <n v="9362.65"/>
    <n v="-26.650867640722318"/>
    <n v="0"/>
    <n v="0"/>
    <n v="0"/>
  </r>
  <r>
    <x v="4"/>
    <s v="Water"/>
    <x v="78"/>
    <x v="0"/>
    <n v="535686"/>
    <n v="36526"/>
    <n v="0"/>
    <n v="0"/>
    <n v="0"/>
    <n v="16737.57"/>
    <n v="39425.99"/>
    <n v="135.5538468248378"/>
    <n v="0"/>
    <n v="0"/>
    <n v="0"/>
  </r>
  <r>
    <x v="0"/>
    <s v="Water"/>
    <x v="80"/>
    <x v="0"/>
    <n v="95352"/>
    <n v="36526"/>
    <n v="0"/>
    <n v="0"/>
    <n v="0"/>
    <n v="7228.66"/>
    <n v="7856.28"/>
    <n v="8.682383733638046"/>
    <n v="0"/>
    <n v="0"/>
    <n v="0"/>
  </r>
  <r>
    <x v="0"/>
    <s v="Water"/>
    <x v="81"/>
    <x v="0"/>
    <n v="88406"/>
    <n v="36526"/>
    <n v="0"/>
    <n v="0"/>
    <n v="0"/>
    <n v="7794.04"/>
    <n v="6989.43"/>
    <n v="-10.323400957654824"/>
    <n v="0"/>
    <n v="0"/>
    <n v="0"/>
  </r>
  <r>
    <x v="0"/>
    <s v="Water"/>
    <x v="82"/>
    <x v="0"/>
    <n v="77078"/>
    <n v="36526"/>
    <n v="0"/>
    <n v="0"/>
    <n v="0"/>
    <n v="6245.6"/>
    <n v="6190.31"/>
    <n v="-0.8852632253106186"/>
    <n v="0"/>
    <n v="0"/>
    <n v="0"/>
  </r>
</pivotCacheRecords>
</file>

<file path=xl/pivotCache/pivotCacheRecords2.xml><?xml version="1.0" encoding="utf-8"?>
<pivotCacheRecords xmlns="http://schemas.openxmlformats.org/spreadsheetml/2006/main" xmlns:r="http://schemas.openxmlformats.org/officeDocument/2006/relationships" count="125">
  <r>
    <x v="0"/>
    <x v="0"/>
    <s v="ADAM-ES"/>
    <s v="Houston, TX"/>
    <n v="109321"/>
    <d v="2000-01-01T00:00:00.000"/>
    <n v="3687.41664"/>
    <n v="3731.63616"/>
    <n v="1.199200532978012"/>
    <n v="92005.63"/>
    <n v="83845.05"/>
    <n v="-8.8696528679821"/>
    <n v="5990"/>
    <n v="5925"/>
    <n v="-1.0851419031719534"/>
  </r>
  <r>
    <x v="1"/>
    <x v="0"/>
    <s v="ALCABC"/>
    <s v="Houston, TX"/>
    <n v="56061"/>
    <d v="2000-01-01T00:00:00.000"/>
    <n v="2682.6508799999997"/>
    <n v="2507.083008"/>
    <n v="-6.54456654456653"/>
    <n v="66699.75"/>
    <n v="57548.75"/>
    <n v="-13.71969160304199"/>
    <n v="4213"/>
    <n v="4246"/>
    <n v="0.783289817232376"/>
  </r>
  <r>
    <x v="1"/>
    <x v="0"/>
    <s v="ALCWEST"/>
    <s v="Katy, TX"/>
    <n v="50839"/>
    <d v="2000-01-01T00:00:00.000"/>
    <n v="1633.501824"/>
    <n v="1845.100416"/>
    <n v="12.953679566873875"/>
    <n v="41098.28"/>
    <n v="40143.02"/>
    <n v="-2.3243308479089633"/>
    <n v="2568"/>
    <n v="2632"/>
    <n v="2.492211838006231"/>
  </r>
  <r>
    <x v="0"/>
    <x v="0"/>
    <s v="ANDREES"/>
    <s v="Cypress, TX"/>
    <n v="107836"/>
    <d v="2000-01-01T00:00:00.000"/>
    <n v="3939.1403519999994"/>
    <n v="3862.493184"/>
    <n v="-1.9457841343755038"/>
    <n v="95655.72"/>
    <n v="83470.42"/>
    <n v="-12.738705014190472"/>
    <n v="5653"/>
    <n v="5450"/>
    <n v="-3.5910136210861494"/>
  </r>
  <r>
    <x v="2"/>
    <x v="0"/>
    <s v="ANTHONYMS"/>
    <s v="Cypress, TX"/>
    <n v="244123"/>
    <d v="2000-01-01T00:00:00.000"/>
    <n v="6516.442320000001"/>
    <n v="6930.392984"/>
    <n v="6.35240279392205"/>
    <n v="152597.41"/>
    <n v="148222.56"/>
    <n v="-2.8669228396471476"/>
    <n v="10812"/>
    <n v="11233"/>
    <n v="3.8938216796152427"/>
  </r>
  <r>
    <x v="2"/>
    <x v="0"/>
    <s v="ARAGONMS"/>
    <s v="Houston, TX"/>
    <n v="219821"/>
    <d v="2000-01-01T00:00:00.000"/>
    <n v="7722.809512000002"/>
    <n v="7749.279808"/>
    <n v="0.3427547443565499"/>
    <n v="197642.59"/>
    <n v="160667.83"/>
    <n v="-18.707890844781986"/>
    <n v="10866"/>
    <n v="10265"/>
    <n v="-5.531014172648629"/>
  </r>
  <r>
    <x v="2"/>
    <x v="0"/>
    <s v="ARNOLDMS"/>
    <s v="Cypress, TX"/>
    <n v="211238"/>
    <d v="2000-01-01T00:00:00.000"/>
    <n v="7784.402935999999"/>
    <n v="7975.051848"/>
    <n v="2.4491141268949583"/>
    <n v="145824.96"/>
    <n v="145448.18"/>
    <n v="-0.25837826391311886"/>
    <n v="6250"/>
    <n v="6341"/>
    <n v="1.456"/>
  </r>
  <r>
    <x v="0"/>
    <x v="0"/>
    <s v="AULTES"/>
    <s v="Cypress, TX"/>
    <n v="89416"/>
    <d v="2000-01-01T00:00:00.000"/>
    <n v="2421.264384"/>
    <n v="1956.1405439999999"/>
    <n v="-19.209956709956707"/>
    <n v="62005.56"/>
    <n v="45215.28"/>
    <n v="-27.078668429089262"/>
    <n v="3575"/>
    <n v="2973"/>
    <n v="-16.83916083916084"/>
  </r>
  <r>
    <x v="0"/>
    <x v="0"/>
    <s v="BANEES"/>
    <s v="Houston, TX"/>
    <n v="106804"/>
    <d v="2000-01-01T00:00:00.000"/>
    <n v="3570.9719039999995"/>
    <n v="3502.8410879999997"/>
    <n v="-1.9079068060906192"/>
    <n v="90653.14"/>
    <n v="81293.87"/>
    <n v="-10.32426455388087"/>
    <n v="5675"/>
    <n v="5619"/>
    <n v="-0.986784140969163"/>
  </r>
  <r>
    <x v="0"/>
    <x v="0"/>
    <s v="BANGES"/>
    <s v="Houston, TX"/>
    <n v="85320"/>
    <d v="2000-01-01T00:00:00.000"/>
    <n v="2801.5522559999995"/>
    <n v="2500.85952"/>
    <n v="-10.733076113644323"/>
    <n v="69866.19"/>
    <n v="57222.27"/>
    <n v="-18.097337209886497"/>
    <n v="4104"/>
    <n v="3727"/>
    <n v="-9.18615984405458"/>
  </r>
  <r>
    <x v="3"/>
    <x v="0"/>
    <s v="BARKERTRANS"/>
    <s v="Houston, TX"/>
    <n v="22677"/>
    <d v="2000-01-01T00:00:00.000"/>
    <n v="1344.6009600000002"/>
    <n v="1149.052416"/>
    <n v="-14.543239951278947"/>
    <n v="29071.1"/>
    <n v="22460.85"/>
    <n v="-22.738217680101542"/>
    <n v="1470"/>
    <n v="1297"/>
    <n v="-11.768707482993198"/>
  </r>
  <r>
    <x v="3"/>
    <x v="0"/>
    <s v="BERRYCENTER"/>
    <s v="Cypress, TX"/>
    <n v="491434"/>
    <d v="2000-01-01T00:00:00.000"/>
    <n v="17888.003687999997"/>
    <n v="18486.700504000004"/>
    <n v="3.346918004056735"/>
    <n v="394395.38"/>
    <n v="359401.35"/>
    <n v="-8.872829595519097"/>
    <n v="17884"/>
    <n v="18054"/>
    <n v="0.9505703422053231"/>
  </r>
  <r>
    <x v="0"/>
    <x v="0"/>
    <s v="BIRKESES"/>
    <s v="Houston, TX"/>
    <n v="106488"/>
    <d v="2000-01-01T00:00:00.000"/>
    <n v="4598.83008"/>
    <n v="4208.388096000001"/>
    <n v="-8.490028490028475"/>
    <n v="110946.37"/>
    <n v="91267.09"/>
    <n v="-17.73765108313143"/>
    <n v="6880"/>
    <n v="6244"/>
    <n v="-9.244186046511627"/>
  </r>
  <r>
    <x v="0"/>
    <x v="0"/>
    <s v="BLACKES"/>
    <s v="Cypress, TX"/>
    <n v="97384"/>
    <d v="2000-01-01T00:00:00.000"/>
    <n v="3240.9086720000005"/>
    <n v="3103.8827520000004"/>
    <n v="-4.228009298251525"/>
    <n v="80132.86"/>
    <n v="71456.06"/>
    <n v="-10.82801737015252"/>
    <n v="4878"/>
    <n v="5045"/>
    <n v="3.4235342353423532"/>
  </r>
  <r>
    <x v="2"/>
    <x v="0"/>
    <s v="BLEYLMS"/>
    <s v="Houston, TX"/>
    <n v="229363"/>
    <d v="2000-01-01T00:00:00.000"/>
    <n v="7213.145423999999"/>
    <n v="6747.902164"/>
    <n v="-6.449935952379587"/>
    <n v="170915.84"/>
    <n v="140671.25"/>
    <n v="-17.69560387147265"/>
    <n v="8001"/>
    <n v="7303"/>
    <n v="-8.723909511311087"/>
  </r>
  <r>
    <x v="3"/>
    <x v="0"/>
    <s v="BRADLEYPOLICESTATION"/>
    <s v="Cypress, TX"/>
    <n v="18144"/>
    <d v="2000-01-01T00:00:00.000"/>
    <n v="1850.6688000000001"/>
    <n v="1957.7783040000002"/>
    <n v="5.787610619469026"/>
    <n v="36083.66"/>
    <n v="33906.99"/>
    <n v="-6.032287190379247"/>
    <n v="1361"/>
    <n v="1507"/>
    <n v="10.727406318883174"/>
  </r>
  <r>
    <x v="1"/>
    <x v="0"/>
    <s v="BRAUTIGAMCENTER"/>
    <s v="Houston, TX"/>
    <n v="85995"/>
    <m/>
    <n v="3395.9465400000004"/>
    <n v="2646.5382719999993"/>
    <n v="-22.06772866336114"/>
    <n v="85582.3"/>
    <n v="57831.59"/>
    <n v="-32.425758597280044"/>
    <n v="3740"/>
    <n v="3136"/>
    <n v="-16.149732620320854"/>
  </r>
  <r>
    <x v="4"/>
    <x v="0"/>
    <s v="BRIDGELANDHS"/>
    <s v="Cypress, TX"/>
    <n v="573468"/>
    <d v="2000-01-01T00:00:00.000"/>
    <n v="16161.006239999999"/>
    <n v="18077.15132"/>
    <n v="11.856595137358253"/>
    <n v="383517.79"/>
    <n v="378802.98"/>
    <n v="-1.2293588779806017"/>
    <n v="23847"/>
    <n v="25360"/>
    <n v="6.344613578227869"/>
  </r>
  <r>
    <x v="2"/>
    <x v="0"/>
    <s v="CAMPBELLMS"/>
    <s v="Houston, TX"/>
    <n v="233575"/>
    <d v="2000-01-01T00:00:00.000"/>
    <n v="9543.101276"/>
    <n v="8693.079952"/>
    <n v="-8.907181213068789"/>
    <n v="235922.66"/>
    <n v="185774.22"/>
    <n v="-21.256304926368667"/>
    <n v="11940"/>
    <n v="10789"/>
    <n v="-9.639865996649917"/>
  </r>
  <r>
    <x v="3"/>
    <x v="0"/>
    <s v="CFISDNATATORIUM"/>
    <s v="Houston, TX"/>
    <n v="49471"/>
    <d v="2000-01-01T00:00:00.000"/>
    <n v="10955.638567999997"/>
    <n v="12853.798996"/>
    <n v="17.32587668184201"/>
    <n v="221954.89"/>
    <n v="229066.48"/>
    <n v="3.2040699801657895"/>
    <n v="8248"/>
    <n v="9206"/>
    <n v="11.61493695441319"/>
  </r>
  <r>
    <x v="2"/>
    <x v="0"/>
    <s v="COOKMS"/>
    <s v="Houston, TX"/>
    <n v="204629"/>
    <d v="2000-01-01T00:00:00.000"/>
    <n v="7078.511316"/>
    <n v="6967.979576000001"/>
    <n v="-1.5615111012135707"/>
    <n v="153788.23"/>
    <n v="142773.51"/>
    <n v="-7.162264628443933"/>
    <n v="8758"/>
    <n v="8169"/>
    <n v="-6.725279744233843"/>
  </r>
  <r>
    <x v="0"/>
    <x v="0"/>
    <s v="COPELANDES"/>
    <s v="Houston, TX"/>
    <n v="86318"/>
    <d v="2000-01-01T00:00:00.000"/>
    <n v="3139.5859200000004"/>
    <n v="3193.632"/>
    <n v="1.7214397496087472"/>
    <n v="82943.86"/>
    <n v="74828.91"/>
    <n v="-9.783665722815408"/>
    <n v="5806"/>
    <n v="5602"/>
    <n v="-3.5136066138477435"/>
  </r>
  <r>
    <x v="4"/>
    <x v="0"/>
    <s v="CY-CREEKHS"/>
    <s v="Houston, TX"/>
    <n v="525576"/>
    <d v="2000-01-01T00:00:00.000"/>
    <n v="17419.42008"/>
    <n v="19897.876408"/>
    <n v="14.228121927236987"/>
    <n v="445629.77"/>
    <n v="387714.03"/>
    <n v="-12.996380380960634"/>
    <n v="22775"/>
    <n v="22271"/>
    <n v="-2.2129527991218443"/>
  </r>
  <r>
    <x v="3"/>
    <x v="0"/>
    <s v="CY-FAIRCOMPLEXRETENTIONPOND"/>
    <s v="Cypress, TX"/>
    <n v="0"/>
    <d v="2000-01-01T00:00:00.000"/>
    <n v="9.20793"/>
    <n v="3.831676"/>
    <n v="-58.387216236439684"/>
    <n v="1502.23"/>
    <n v="1002.49"/>
    <n v="-33.266543738309046"/>
    <n v="177"/>
    <n v="116"/>
    <n v="-34.463276836158194"/>
  </r>
  <r>
    <x v="4"/>
    <x v="0"/>
    <s v="CY-FAIRHS"/>
    <s v="Cypress, TX"/>
    <n v="507380"/>
    <m/>
    <n v="21060.576824000003"/>
    <n v="23366.594083999997"/>
    <n v="10.949449672110239"/>
    <n v="434552.14"/>
    <n v="416905.79"/>
    <n v="-4.060813047658677"/>
    <n v="22630"/>
    <n v="22785"/>
    <n v="0.684931506849315"/>
  </r>
  <r>
    <x v="3"/>
    <x v="0"/>
    <s v="CY-FAIRHS-BALLFIELD"/>
    <s v="Cypress, TX"/>
    <n v="0"/>
    <d v="2000-01-01T00:00:00.000"/>
    <n v="115.953408"/>
    <n v="145.43308800000003"/>
    <n v="25.423728813559347"/>
    <n v="13338.39"/>
    <n v="17176.48"/>
    <n v="28.77476217144648"/>
    <n v="1363"/>
    <n v="2304"/>
    <n v="69.0388848129127"/>
  </r>
  <r>
    <x v="4"/>
    <x v="0"/>
    <s v="CY-FALLSHS"/>
    <s v="Houston, TX"/>
    <n v="578719"/>
    <d v="2000-01-01T00:00:00.000"/>
    <n v="20998.495484"/>
    <n v="15574.647215999998"/>
    <n v="-25.829699428384057"/>
    <n v="437731.79"/>
    <n v="318614.37"/>
    <n v="-27.212421560700445"/>
    <n v="14154"/>
    <n v="14920"/>
    <n v="5.411897696764165"/>
  </r>
  <r>
    <x v="4"/>
    <x v="0"/>
    <s v="CY-LAKESHS"/>
    <s v="Katy, TX"/>
    <n v="520212"/>
    <d v="2000-01-01T00:00:00.000"/>
    <n v="20068.07038"/>
    <n v="20200.841536"/>
    <n v="0.661603998221572"/>
    <n v="423688.36"/>
    <n v="386366.43"/>
    <n v="-8.80881646123108"/>
    <n v="20539"/>
    <n v="21996"/>
    <n v="7.093821510297483"/>
  </r>
  <r>
    <x v="4"/>
    <x v="0"/>
    <s v="CY-PARKHS"/>
    <s v="Cypress, TX"/>
    <n v="590057"/>
    <d v="2000-01-01T00:00:00.000"/>
    <n v="18319.474972"/>
    <n v="19319.10226"/>
    <n v="5.4566372100066065"/>
    <n v="405403.42"/>
    <n v="418133.42"/>
    <n v="3.140082044695134"/>
    <n v="27495"/>
    <n v="30334"/>
    <n v="10.32551372976905"/>
  </r>
  <r>
    <x v="4"/>
    <x v="0"/>
    <s v="CY-RANCHHS"/>
    <s v="Cypress, TX"/>
    <n v="530203"/>
    <d v="2000-01-01T00:00:00.000"/>
    <n v="22312.040419999998"/>
    <n v="22826.737208000002"/>
    <n v="2.306811830345382"/>
    <n v="600208.83"/>
    <n v="526022.69"/>
    <n v="-12.360054749611065"/>
    <n v="39071"/>
    <n v="39991"/>
    <n v="2.3546876199738938"/>
  </r>
  <r>
    <x v="4"/>
    <x v="0"/>
    <s v="CY-RIDGEHS"/>
    <s v="Houston, TX"/>
    <n v="497661"/>
    <d v="2000-01-01T00:00:00.000"/>
    <n v="18846.772276000003"/>
    <n v="17884.134479999997"/>
    <n v="-5.1077064120197075"/>
    <n v="413059.9"/>
    <n v="346177.65"/>
    <n v="-16.191900980947317"/>
    <n v="19387"/>
    <n v="19058"/>
    <n v="-1.697013462629597"/>
  </r>
  <r>
    <x v="4"/>
    <x v="0"/>
    <s v="CY-SPRINGSHS"/>
    <s v="Cypress, TX"/>
    <n v="477795"/>
    <d v="2000-01-01T00:00:00.000"/>
    <n v="18913.927259999997"/>
    <n v="18138.348952"/>
    <n v="-4.100567255750348"/>
    <n v="430266.15"/>
    <n v="361916.91"/>
    <n v="-15.885339806536024"/>
    <n v="19841"/>
    <n v="18739"/>
    <n v="-5.554155536515297"/>
  </r>
  <r>
    <x v="4"/>
    <x v="0"/>
    <s v="CY-WOODSHS"/>
    <s v="Cypress, TX"/>
    <n v="535914"/>
    <d v="2000-01-01T00:00:00.000"/>
    <n v="12314.535807999999"/>
    <n v="12107.420584"/>
    <n v="-1.681876014079629"/>
    <n v="264014.73"/>
    <n v="227934.11"/>
    <n v="-13.666139006713754"/>
    <n v="12975"/>
    <n v="12959"/>
    <n v="-0.1233140655105973"/>
  </r>
  <r>
    <x v="0"/>
    <x v="0"/>
    <s v="DANISHES"/>
    <s v="Houston, TX"/>
    <n v="99588"/>
    <d v="2000-01-01T00:00:00.000"/>
    <n v="3537.6844320000005"/>
    <n v="3787.6339040000003"/>
    <n v="7.065341095409493"/>
    <n v="82784.71"/>
    <n v="83083.9"/>
    <n v="0.36140731784891195"/>
    <n v="4991"/>
    <n v="4776"/>
    <n v="-4.307753957122821"/>
  </r>
  <r>
    <x v="2"/>
    <x v="0"/>
    <s v="DEANMS"/>
    <s v="Houston, TX"/>
    <n v="213572"/>
    <d v="2000-01-01T00:00:00.000"/>
    <n v="8146.153412000001"/>
    <n v="7904.481452000002"/>
    <n v="-2.966700328083617"/>
    <n v="195203.12"/>
    <n v="168256.08"/>
    <n v="-13.804615418032254"/>
    <n v="9942"/>
    <n v="10109"/>
    <n v="1.67974250653792"/>
  </r>
  <r>
    <x v="0"/>
    <x v="0"/>
    <s v="DURYEAES"/>
    <s v="Katy, TX"/>
    <n v="97959"/>
    <d v="2000-01-01T00:00:00.000"/>
    <n v="3134.017536"/>
    <n v="2910.6270719999993"/>
    <n v="-7.1279264214047"/>
    <n v="80674.54"/>
    <n v="69577.21"/>
    <n v="-13.755678061504907"/>
    <n v="5390"/>
    <n v="5167"/>
    <n v="-4.137291280148423"/>
  </r>
  <r>
    <x v="3"/>
    <x v="0"/>
    <s v="ELC1"/>
    <s v="Houston, TX"/>
    <n v="6832"/>
    <d v="2000-01-01T00:00:00.000"/>
    <n v="296.98048"/>
    <n v="254.39872000000003"/>
    <n v="-14.338235294117645"/>
    <n v="7641.57"/>
    <n v="6357.23"/>
    <n v="-16.807279132429592"/>
    <n v="443"/>
    <n v="456"/>
    <n v="2.9345372460496613"/>
  </r>
  <r>
    <x v="3"/>
    <x v="0"/>
    <s v="ELC2"/>
    <s v="Houston, TX"/>
    <n v="4573"/>
    <d v="2000-01-01T00:00:00.000"/>
    <n v="207.889748"/>
    <n v="165.94603199999997"/>
    <n v="-20.175942490439702"/>
    <n v="6592.46"/>
    <n v="4933.93"/>
    <n v="-25.157983514499897"/>
    <n v="418"/>
    <n v="389"/>
    <n v="-6.937799043062202"/>
  </r>
  <r>
    <x v="3"/>
    <x v="0"/>
    <s v="ELDRIDGETRANS"/>
    <s v="Houston, TX"/>
    <n v="26451"/>
    <d v="2000-01-01T00:00:00.000"/>
    <n v="2446.81344"/>
    <n v="2409.472512"/>
    <n v="-1.5261044176706762"/>
    <n v="49411.28"/>
    <n v="43795.78"/>
    <n v="-11.364813864364573"/>
    <n v="2169"/>
    <n v="2202"/>
    <n v="1.5214384508990317"/>
  </r>
  <r>
    <x v="0"/>
    <x v="0"/>
    <s v="EMERYES"/>
    <s v="Katy, TX"/>
    <n v="95366"/>
    <d v="2000-01-01T00:00:00.000"/>
    <n v="2805.48288"/>
    <n v="2903.74848"/>
    <n v="3.50262697022767"/>
    <n v="74469.05"/>
    <n v="69080.12"/>
    <n v="-7.23646937888962"/>
    <n v="5112"/>
    <n v="5198"/>
    <n v="1.6823161189358373"/>
  </r>
  <r>
    <x v="0"/>
    <x v="0"/>
    <s v="EMMOTTES"/>
    <s v="Houston, TX"/>
    <n v="76544"/>
    <d v="2000-01-01T00:00:00.000"/>
    <n v="2898.8352"/>
    <n v="2308.586496"/>
    <n v="-20.36158192090396"/>
    <n v="70502.7"/>
    <n v="57041.2"/>
    <n v="-19.093594997071033"/>
    <n v="3927"/>
    <n v="4313"/>
    <n v="9.829386299974535"/>
  </r>
  <r>
    <x v="3"/>
    <x v="0"/>
    <s v="EXHIBITCENTERSCIENCERESOURCEC"/>
    <s v="Cypress, TX"/>
    <n v="72198"/>
    <d v="2000-01-01T00:00:00.000"/>
    <n v="3372.1478399999996"/>
    <n v="3174.5248000000006"/>
    <n v="-5.8604500566617945"/>
    <n v="69179.91"/>
    <n v="59183.66"/>
    <n v="-14.449642967156217"/>
    <n v="3066"/>
    <n v="3172"/>
    <n v="3.457273320287019"/>
  </r>
  <r>
    <x v="3"/>
    <x v="0"/>
    <s v="EXHIBITCENTERTELGEAG"/>
    <s v="Cypress, TX"/>
    <n v="33198"/>
    <d v="2000-01-01T00:00:00.000"/>
    <n v="1131.8934680000002"/>
    <n v="1062.585512"/>
    <n v="-6.1231872043986355"/>
    <n v="21239.46"/>
    <n v="18092.54"/>
    <n v="-14.81638422069111"/>
    <n v="753"/>
    <n v="759"/>
    <n v="0.796812749003984"/>
  </r>
  <r>
    <x v="3"/>
    <x v="0"/>
    <s v="FALCONCOMPLEX"/>
    <s v="Houston, TX"/>
    <n v="6832"/>
    <d v="2000-01-01T00:00:00.000"/>
    <n v="2761.5909119999997"/>
    <n v="2674.46208"/>
    <n v="-3.155023128928947"/>
    <n v="57345.61"/>
    <n v="48599.33"/>
    <n v="-15.251873683094486"/>
    <n v="2533"/>
    <n v="2402"/>
    <n v="-5.1717331227793135"/>
  </r>
  <r>
    <x v="0"/>
    <x v="0"/>
    <s v="FARNEYES"/>
    <s v="Cypress, TX"/>
    <n v="95036"/>
    <d v="2000-01-01T00:00:00.000"/>
    <n v="4086.2111999999997"/>
    <n v="3657.1180800000006"/>
    <n v="-10.501002004007995"/>
    <n v="103518.45"/>
    <n v="84291.17"/>
    <n v="-18.573771149007737"/>
    <n v="6704"/>
    <n v="6279"/>
    <n v="-6.3394988066825775"/>
  </r>
  <r>
    <x v="0"/>
    <x v="0"/>
    <s v="FIESTES"/>
    <s v="Houston, TX"/>
    <n v="91621"/>
    <d v="2000-01-01T00:00:00.000"/>
    <n v="2977.44768"/>
    <n v="2728.835712"/>
    <n v="-8.349834983498361"/>
    <n v="74091.35"/>
    <n v="60086.95"/>
    <n v="-18.901531690271536"/>
    <n v="4520"/>
    <n v="3855"/>
    <n v="-14.712389380530974"/>
  </r>
  <r>
    <x v="3"/>
    <x v="0"/>
    <s v="FOODPRODUCTIONCENTER"/>
    <s v="Houston, TX"/>
    <n v="57684"/>
    <d v="2000-01-01T00:00:00.000"/>
    <n v="14716.044712000003"/>
    <n v="13226.832956"/>
    <n v="-10.119646855826987"/>
    <n v="301041.48"/>
    <n v="243174.9"/>
    <n v="-19.22212845884228"/>
    <n v="8886"/>
    <n v="8311"/>
    <n v="-6.470853027233851"/>
  </r>
  <r>
    <x v="3"/>
    <x v="0"/>
    <s v="FOODSERVICEWAREHOUSE"/>
    <s v="Houston, TX"/>
    <n v="49742"/>
    <d v="2000-01-01T00:00:00.000"/>
    <n v="2393.750016"/>
    <n v="2563.749504"/>
    <n v="7.10180623973728"/>
    <n v="46059.86"/>
    <n v="46707.84"/>
    <n v="1.406821471016195"/>
    <n v="2235"/>
    <n v="2255"/>
    <n v="0.8948545861297539"/>
  </r>
  <r>
    <x v="0"/>
    <x v="0"/>
    <s v="FRANCONEES"/>
    <s v="Houston, TX"/>
    <n v="90518"/>
    <d v="2000-01-01T00:00:00.000"/>
    <n v="3367.23456"/>
    <n v="3164.0158399999996"/>
    <n v="-6.035181582360581"/>
    <n v="85964.61"/>
    <n v="72669.31"/>
    <n v="-15.466015608050803"/>
    <n v="5445"/>
    <n v="5170"/>
    <n v="-5.05050505050505"/>
  </r>
  <r>
    <x v="0"/>
    <x v="0"/>
    <s v="FRAZIERES"/>
    <s v="Houston, TX"/>
    <n v="85844"/>
    <d v="2000-01-01T00:00:00.000"/>
    <n v="3756.359512"/>
    <n v="3538.714856"/>
    <n v="-5.794031569787615"/>
    <n v="92465.46"/>
    <n v="79938.49"/>
    <n v="-13.547729065534309"/>
    <n v="5681"/>
    <n v="5273"/>
    <n v="-7.181834184122514"/>
  </r>
  <r>
    <x v="0"/>
    <x v="0"/>
    <s v="GLEASONES"/>
    <s v="Houston, TX"/>
    <n v="91424"/>
    <d v="2000-01-01T00:00:00.000"/>
    <n v="3890.3351040000002"/>
    <n v="3704.61312"/>
    <n v="-4.773932811316001"/>
    <n v="90532.15"/>
    <n v="78116.04"/>
    <n v="-13.714586475633242"/>
    <n v="5215"/>
    <n v="5092"/>
    <n v="-2.358581016299137"/>
  </r>
  <r>
    <x v="2"/>
    <x v="0"/>
    <s v="GOODSONMS"/>
    <s v="Cypress, TX"/>
    <n v="218801"/>
    <d v="2000-01-01T00:00:00.000"/>
    <n v="6501.402224000001"/>
    <n v="6697.885655999999"/>
    <n v="3.0221700677844057"/>
    <n v="158947.34"/>
    <n v="138128.37"/>
    <n v="-13.098029825475532"/>
    <n v="9247"/>
    <n v="9034"/>
    <n v="-2.3034497674921597"/>
  </r>
  <r>
    <x v="0"/>
    <x v="0"/>
    <s v="HAIRGROVEES"/>
    <s v="Houston, TX"/>
    <n v="85052"/>
    <d v="2000-01-01T00:00:00.000"/>
    <n v="3399.95564"/>
    <n v="3156.2910719999995"/>
    <n v="-7.166698445512672"/>
    <n v="82736.88"/>
    <n v="70345.92"/>
    <n v="-14.976344285643838"/>
    <n v="5084"/>
    <n v="4910"/>
    <n v="-3.4225019669551533"/>
  </r>
  <r>
    <x v="0"/>
    <x v="0"/>
    <s v="HAMILTONES"/>
    <s v="Cypress, TX"/>
    <n v="85650"/>
    <d v="2000-01-01T00:00:00.000"/>
    <n v="2678.720256"/>
    <n v="2306.293632"/>
    <n v="-13.903154805575937"/>
    <n v="67768.11"/>
    <n v="54417.7"/>
    <n v="-19.700136244023923"/>
    <n v="4065"/>
    <n v="3842"/>
    <n v="-5.485854858548586"/>
  </r>
  <r>
    <x v="2"/>
    <x v="0"/>
    <s v="HAMILTONMS"/>
    <s v="Cypress, TX"/>
    <n v="192751"/>
    <d v="2000-01-01T00:00:00.000"/>
    <n v="7537.817696"/>
    <n v="8676.541988"/>
    <n v="15.106816560504944"/>
    <n v="180264.59"/>
    <n v="165118.34"/>
    <n v="-8.402232518322094"/>
    <n v="8956"/>
    <n v="8717"/>
    <n v="-2.668602054488611"/>
  </r>
  <r>
    <x v="0"/>
    <x v="0"/>
    <s v="HANCOCKES"/>
    <s v="Houston, TX"/>
    <n v="88795"/>
    <d v="2000-01-01T00:00:00.000"/>
    <n v="3674.1507840000004"/>
    <n v="3303.6894720000005"/>
    <n v="-10.082909868948917"/>
    <n v="92330.35"/>
    <n v="77133.4"/>
    <n v="-16.459322422150464"/>
    <n v="5743"/>
    <n v="5527"/>
    <n v="-3.761100470137559"/>
  </r>
  <r>
    <x v="0"/>
    <x v="0"/>
    <s v="HEMMENWAYES"/>
    <s v="Katy, TX"/>
    <n v="96483"/>
    <d v="2000-01-01T00:00:00.000"/>
    <n v="2779.606272"/>
    <n v="2868.700416"/>
    <n v="3.2052792835258104"/>
    <n v="77491.31"/>
    <n v="73350.21"/>
    <n v="-5.343954051105859"/>
    <n v="5552"/>
    <n v="5804"/>
    <n v="4.538904899135447"/>
  </r>
  <r>
    <x v="0"/>
    <x v="0"/>
    <s v="HOLBROOKES"/>
    <s v="Houston, TX"/>
    <n v="99937"/>
    <d v="2000-01-01T00:00:00.000"/>
    <n v="3552.6289920000004"/>
    <n v="3578.833152"/>
    <n v="0.7375991148810531"/>
    <n v="96312.58"/>
    <n v="84514.37"/>
    <n v="-12.249915846922592"/>
    <n v="6213"/>
    <n v="5903"/>
    <n v="-4.989538065346853"/>
  </r>
  <r>
    <x v="0"/>
    <x v="0"/>
    <s v="HOLMSLEYES"/>
    <s v="Houston, TX"/>
    <n v="81704"/>
    <d v="2000-01-01T00:00:00.000"/>
    <n v="2297.449728"/>
    <n v="2199.184128"/>
    <n v="-4.277159965782732"/>
    <n v="61183.58"/>
    <n v="52042.35"/>
    <n v="-14.94065891534951"/>
    <n v="3863"/>
    <n v="3537"/>
    <n v="-8.439037017861764"/>
  </r>
  <r>
    <x v="0"/>
    <x v="0"/>
    <s v="HOOVERES"/>
    <s v="Katy, TX"/>
    <n v="112519"/>
    <d v="2000-01-01T00:00:00.000"/>
    <n v="2817.76608"/>
    <n v="2694.9340799999995"/>
    <n v="-4.359197907585029"/>
    <n v="74353.05"/>
    <n v="65620.17"/>
    <n v="-11.745153695779798"/>
    <n v="4895"/>
    <n v="4905"/>
    <n v="0.20429009193054137"/>
  </r>
  <r>
    <x v="2"/>
    <x v="0"/>
    <s v="HOPPERMS"/>
    <s v="Cypress, TX"/>
    <n v="226178"/>
    <d v="2000-01-01T00:00:00.000"/>
    <n v="7334.8651119999995"/>
    <n v="7629.644852"/>
    <n v="4.0188842671112575"/>
    <n v="180638.21"/>
    <n v="169315.67"/>
    <n v="-6.268075840654089"/>
    <n v="10427"/>
    <n v="9878"/>
    <n v="-5.265176944471085"/>
  </r>
  <r>
    <x v="0"/>
    <x v="0"/>
    <s v="HORNEES"/>
    <s v="Houston, TX"/>
    <n v="87881"/>
    <d v="2000-01-01T00:00:00.000"/>
    <n v="3294.5180160000004"/>
    <n v="3235.558656"/>
    <n v="-1.7896202028236365"/>
    <n v="79958.3"/>
    <n v="71593.55"/>
    <n v="-10.46139049979802"/>
    <n v="4958"/>
    <n v="5001"/>
    <n v="0.8672851956434046"/>
  </r>
  <r>
    <x v="3"/>
    <x v="0"/>
    <s v="ISCA"/>
    <s v="Houston, TX"/>
    <n v="132467"/>
    <d v="2000-01-01T00:00:00.000"/>
    <n v="2093.8147440000002"/>
    <n v="2130.52104"/>
    <n v="1.7530823156721385"/>
    <n v="49138.06"/>
    <n v="44771.25"/>
    <n v="-8.886818079509041"/>
    <n v="2850"/>
    <n v="2831"/>
    <n v="-0.6666666666666667"/>
  </r>
  <r>
    <x v="3"/>
    <x v="0"/>
    <s v="ISCB"/>
    <s v="Houston, TX"/>
    <n v="0"/>
    <d v="2000-01-01T00:00:00.000"/>
    <n v="2150.9247999999993"/>
    <n v="2025.9091199999998"/>
    <n v="-5.812182741116739"/>
    <n v="46705.31"/>
    <n v="40349.96"/>
    <n v="-13.60733929396893"/>
    <n v="2289"/>
    <n v="2302"/>
    <n v="0.5679335954565312"/>
  </r>
  <r>
    <x v="3"/>
    <x v="0"/>
    <s v="ISCC"/>
    <s v="Houston, TX"/>
    <n v="0"/>
    <d v="2000-01-01T00:00:00.000"/>
    <n v="3361.2294399999996"/>
    <n v="3389.07136"/>
    <n v="0.8283254831898769"/>
    <n v="71002.06"/>
    <n v="63560.06"/>
    <n v="-10.481386033024958"/>
    <n v="3397"/>
    <n v="3368"/>
    <n v="-0.8536944362672947"/>
  </r>
  <r>
    <x v="3"/>
    <x v="0"/>
    <s v="ISCC-EXLIGHT"/>
    <s v="Houston, TX"/>
    <n v="0"/>
    <d v="2000-01-01T00:00:00.000"/>
    <n v="24.97584"/>
    <n v="24.97584"/>
    <n v="0"/>
    <n v="1322.23"/>
    <n v="1130.37"/>
    <n v="-14.510334813156563"/>
    <n v="0"/>
    <n v="0"/>
    <n v="0"/>
  </r>
  <r>
    <x v="3"/>
    <x v="0"/>
    <s v="ISCD"/>
    <s v="Houston, TX"/>
    <n v="0"/>
    <d v="2000-01-01T00:00:00.000"/>
    <n v="86.93776"/>
    <n v="93.76176"/>
    <n v="7.849293563579273"/>
    <n v="2920.38"/>
    <n v="2824.22"/>
    <n v="-3.2927221799902755"/>
    <n v="219"/>
    <n v="224"/>
    <n v="2.2831050228310503"/>
  </r>
  <r>
    <x v="3"/>
    <x v="0"/>
    <s v="ISCDATACENTER"/>
    <s v="Houston, TX"/>
    <n v="0"/>
    <d v="2000-01-01T00:00:00.000"/>
    <n v="702.2953719999999"/>
    <n v="757.893912"/>
    <n v="7.916688934125581"/>
    <n v="13117.82"/>
    <n v="12612.88"/>
    <n v="-3.8492676374580532"/>
    <n v="386"/>
    <n v="410"/>
    <n v="6.217616580310882"/>
  </r>
  <r>
    <x v="3"/>
    <x v="0"/>
    <s v="ISCSW"/>
    <s v="Houston, TX"/>
    <n v="0"/>
    <d v="2000-01-01T00:00:00.000"/>
    <n v="183.51442"/>
    <n v="274.76153600000004"/>
    <n v="49.72204146137401"/>
    <n v="4556.06"/>
    <n v="5509.41"/>
    <n v="20.924878074476634"/>
    <n v="253"/>
    <n v="301"/>
    <n v="18.972332015810277"/>
  </r>
  <r>
    <x v="3"/>
    <x v="0"/>
    <s v="ISCW"/>
    <s v="Houston, TX"/>
    <n v="35364"/>
    <d v="2000-01-01T00:00:00.000"/>
    <n v="2034.753024"/>
    <n v="1984.310016"/>
    <n v="-2.4790727623953766"/>
    <n v="49732.94"/>
    <n v="42989.23"/>
    <n v="-13.559845848646791"/>
    <n v="3109"/>
    <n v="2875"/>
    <n v="-7.526535863621743"/>
  </r>
  <r>
    <x v="3"/>
    <x v="0"/>
    <s v="JARVISCENTRALPLANT"/>
    <s v="Cypress, TX"/>
    <n v="12152"/>
    <d v="2000-01-01T00:00:00.000"/>
    <n v="10104.75742"/>
    <n v="9624.559364"/>
    <n v="-4.75219776230907"/>
    <n v="301710.72"/>
    <n v="245349.63"/>
    <n v="-18.68050628098332"/>
    <n v="20734"/>
    <n v="23703"/>
    <n v="14.319475258030288"/>
  </r>
  <r>
    <x v="4"/>
    <x v="0"/>
    <s v="JERSEYVILLAGEHS"/>
    <s v="Houston, TX"/>
    <n v="510425"/>
    <d v="2000-01-01T00:00:00.000"/>
    <n v="16581.064384"/>
    <n v="16243.679000000002"/>
    <n v="-2.034763126096789"/>
    <n v="397054.01"/>
    <n v="340694.22"/>
    <n v="-14.194489560752704"/>
    <n v="21001"/>
    <n v="20352"/>
    <n v="-3.09032903195086"/>
  </r>
  <r>
    <x v="3"/>
    <x v="0"/>
    <s v="JERSEYVILLAGESTADIUM"/>
    <s v="Houston, TX"/>
    <n v="2385"/>
    <d v="2000-01-01T00:00:00.000"/>
    <n v="196.5312"/>
    <n v="186.04953599999996"/>
    <n v="-5.333333333333361"/>
    <n v="13747.35"/>
    <n v="11230.31"/>
    <n v="-18.309274151018197"/>
    <n v="1259"/>
    <n v="1182"/>
    <n v="-6.115965051628276"/>
  </r>
  <r>
    <x v="0"/>
    <x v="0"/>
    <s v="JOWELLES"/>
    <s v="Katy, TX"/>
    <n v="73726"/>
    <d v="2000-01-01T00:00:00.000"/>
    <n v="1908.9730559999996"/>
    <n v="2009.2039680000003"/>
    <n v="5.250514756348691"/>
    <n v="52471.93"/>
    <n v="51231.24"/>
    <n v="-2.364483258000992"/>
    <n v="3532"/>
    <n v="3793"/>
    <n v="7.389580973952435"/>
  </r>
  <r>
    <x v="2"/>
    <x v="0"/>
    <s v="KAHLAMS"/>
    <s v="Houston, TX"/>
    <n v="221601"/>
    <d v="2000-01-01T00:00:00.000"/>
    <n v="7745.976991999999"/>
    <n v="7539.639704"/>
    <n v="-2.6637993917759273"/>
    <n v="204790.34"/>
    <n v="170681.03"/>
    <n v="-16.65572214001891"/>
    <n v="11308"/>
    <n v="11155"/>
    <n v="-1.3530244074991158"/>
  </r>
  <r>
    <x v="0"/>
    <x v="0"/>
    <s v="KEITHES"/>
    <s v="Cypress, TX"/>
    <n v="95518"/>
    <d v="2000-01-01T00:00:00.000"/>
    <n v="2992.515072"/>
    <n v="2934.2108160000002"/>
    <n v="-1.948336252189128"/>
    <n v="75450.01"/>
    <n v="68392.69"/>
    <n v="-9.353636931260844"/>
    <n v="4837"/>
    <n v="4972"/>
    <n v="2.790986148439115"/>
  </r>
  <r>
    <x v="0"/>
    <x v="0"/>
    <s v="KIRKES"/>
    <s v="Houston, TX"/>
    <n v="93897"/>
    <d v="2000-01-01T00:00:00.000"/>
    <n v="3736.0581120000006"/>
    <n v="3716.404992"/>
    <n v="-0.5260389268805983"/>
    <n v="91959.61"/>
    <n v="84146.87"/>
    <n v="-8.495838553469289"/>
    <n v="5766"/>
    <n v="6082"/>
    <n v="5.480402358654179"/>
  </r>
  <r>
    <x v="2"/>
    <x v="0"/>
    <s v="LABAYMS"/>
    <s v="Houston, TX"/>
    <n v="189290"/>
    <d v="2000-01-01T00:00:00.000"/>
    <n v="6417.583032"/>
    <n v="6602.486136"/>
    <n v="2.8811953515524187"/>
    <n v="153642.49"/>
    <n v="135704.61"/>
    <n v="-11.675077642909848"/>
    <n v="7766"/>
    <n v="7080"/>
    <n v="-8.833376255472572"/>
  </r>
  <r>
    <x v="0"/>
    <x v="0"/>
    <s v="LAMKINES"/>
    <s v="Cypress, TX"/>
    <n v="115158"/>
    <d v="2000-01-01T00:00:00.000"/>
    <n v="3318.9206400000003"/>
    <n v="3060.9734399999998"/>
    <n v="-7.772020725388609"/>
    <n v="81938.65"/>
    <n v="69140.87"/>
    <n v="-15.618734260327697"/>
    <n v="5033"/>
    <n v="4585"/>
    <n v="-8.90125173852573"/>
  </r>
  <r>
    <x v="4"/>
    <x v="0"/>
    <s v="LANGHAMCREEKHS"/>
    <s v="Houston, TX"/>
    <n v="535686"/>
    <d v="2000-01-01T00:00:00.000"/>
    <n v="17202.942328"/>
    <n v="14829.039916000002"/>
    <n v="-13.799397607327723"/>
    <n v="394574.18"/>
    <n v="296292.12"/>
    <n v="-24.90838604796695"/>
    <n v="19584"/>
    <n v="16526"/>
    <n v="-15.614787581699348"/>
  </r>
  <r>
    <x v="3"/>
    <x v="0"/>
    <s v="LANGHAMCREEKRETENTIONPOND"/>
    <s v="Houston, TX"/>
    <n v="0"/>
    <d v="2000-01-01T00:00:00.000"/>
    <n v="40.61644800000001"/>
    <n v="14.412288"/>
    <n v="-64.51612903225808"/>
    <n v="4175.4"/>
    <n v="2726.6"/>
    <n v="-34.69847200268238"/>
    <n v="284"/>
    <n v="250"/>
    <n v="-11.971830985915492"/>
  </r>
  <r>
    <x v="0"/>
    <x v="0"/>
    <s v="LEEES"/>
    <s v="Houston, TX"/>
    <n v="95352"/>
    <d v="2000-01-01T00:00:00.000"/>
    <n v="3342.340608"/>
    <n v="4105.536768"/>
    <n v="22.8341826734614"/>
    <n v="85817.97"/>
    <n v="83973.89"/>
    <n v="-2.1488273376776448"/>
    <n v="5753"/>
    <n v="5104"/>
    <n v="-11.281070745697896"/>
  </r>
  <r>
    <x v="0"/>
    <x v="0"/>
    <s v="LIEDERES"/>
    <s v="Houston, TX"/>
    <n v="88406"/>
    <d v="2000-01-01T00:00:00.000"/>
    <n v="2779.933824"/>
    <n v="2895.887232"/>
    <n v="4.1710851891127625"/>
    <n v="71491.23"/>
    <n v="67008.85"/>
    <n v="-6.269831977992266"/>
    <n v="4700"/>
    <n v="4772"/>
    <n v="1.5319148936170215"/>
  </r>
  <r>
    <x v="0"/>
    <x v="0"/>
    <s v="LOWERYES"/>
    <s v="Houston, TX"/>
    <n v="77078"/>
    <d v="2000-01-01T00:00:00.000"/>
    <n v="3060.6458879999996"/>
    <n v="3037.7172479999995"/>
    <n v="-0.7491438356164388"/>
    <n v="81948.15"/>
    <n v="74402.53"/>
    <n v="-9.20779785754773"/>
    <n v="5715"/>
    <n v="5692"/>
    <n v="-0.4024496937882765"/>
  </r>
  <r>
    <x v="3"/>
    <x v="0"/>
    <s v="MAINTENANCEOPER"/>
    <s v="Houston, TX"/>
    <n v="35143"/>
    <d v="2000-01-01T00:00:00.000"/>
    <n v="3339.720192"/>
    <n v="3371.8202880000003"/>
    <n v="0.9611612397018409"/>
    <n v="74378.5"/>
    <n v="65379.52"/>
    <n v="-12.098899547584315"/>
    <n v="3758"/>
    <n v="3727"/>
    <n v="-0.8249068653539117"/>
  </r>
  <r>
    <x v="0"/>
    <x v="0"/>
    <s v="MATZKEMILLSES"/>
    <s v="Houston, TX"/>
    <n v="124682"/>
    <d v="2000-01-01T00:00:00.000"/>
    <n v="3400.6448640000003"/>
    <n v="3232.283136"/>
    <n v="-4.950876517048755"/>
    <n v="75850.52"/>
    <n v="69790.75"/>
    <n v="-7.989094867114952"/>
    <n v="5077"/>
    <n v="4347"/>
    <n v="-14.37857002166634"/>
  </r>
  <r>
    <x v="0"/>
    <x v="0"/>
    <s v="MCFEEES"/>
    <s v="Katy, TX"/>
    <n v="107075"/>
    <d v="2000-01-01T00:00:00.000"/>
    <n v="4045.2535520000006"/>
    <n v="3507.14362"/>
    <n v="-13.302254730953903"/>
    <n v="97498.91"/>
    <n v="84372.82"/>
    <n v="-13.462806917533744"/>
    <n v="4619"/>
    <n v="4609"/>
    <n v="-0.2164970772894566"/>
  </r>
  <r>
    <x v="0"/>
    <x v="0"/>
    <s v="METCALFES"/>
    <s v="Houston, TX"/>
    <n v="88192"/>
    <d v="2000-01-01T00:00:00.000"/>
    <n v="3157.273728"/>
    <n v="2424.212352"/>
    <n v="-23.218176159352634"/>
    <n v="77975.81"/>
    <n v="58856.69"/>
    <n v="-24.519296433086105"/>
    <n v="4643"/>
    <n v="4497"/>
    <n v="-3.1445186301959938"/>
  </r>
  <r>
    <x v="0"/>
    <x v="0"/>
    <s v="MILLSAPES"/>
    <s v="Cypress, TX"/>
    <n v="74252"/>
    <d v="2000-01-01T00:00:00.000"/>
    <n v="2625.001728"/>
    <n v="2657.7569280000002"/>
    <n v="1.2478163214374915"/>
    <n v="71054.43"/>
    <n v="63850.81"/>
    <n v="-10.138171539761842"/>
    <n v="4948"/>
    <n v="4685"/>
    <n v="-5.315278900565885"/>
  </r>
  <r>
    <x v="3"/>
    <x v="0"/>
    <s v="MILLSAPNATURETRAIL"/>
    <s v="Cypress, TX"/>
    <n v="1121"/>
    <d v="2000-01-01T00:00:00.000"/>
    <n v="4.664204000000001"/>
    <n v="7.288031999999999"/>
    <n v="56.25457205559617"/>
    <n v="178.16"/>
    <n v="216.41"/>
    <n v="21.46946564885496"/>
    <n v="21"/>
    <n v="22"/>
    <n v="4.761904761904762"/>
  </r>
  <r>
    <x v="3"/>
    <x v="0"/>
    <s v="MILLSAPROPES"/>
    <s v="Cypress, TX"/>
    <n v="924"/>
    <d v="2000-01-01T00:00:00.000"/>
    <n v="17.824287999999996"/>
    <n v="15.674728"/>
    <n v="-12.059724349157719"/>
    <n v="479.82"/>
    <n v="407.29"/>
    <n v="-15.116085198616148"/>
    <n v="23"/>
    <n v="21"/>
    <n v="-8.695652173913043"/>
  </r>
  <r>
    <x v="0"/>
    <x v="0"/>
    <s v="MOOREES"/>
    <s v="Houston, TX"/>
    <n v="83355"/>
    <d v="2000-01-01T00:00:00.000"/>
    <n v="2666.2732800000003"/>
    <n v="2197.218816"/>
    <n v="-17.592137592137597"/>
    <n v="63670.27"/>
    <n v="51165.86"/>
    <n v="-19.639323030984475"/>
    <n v="2856"/>
    <n v="3420"/>
    <n v="19.747899159663866"/>
  </r>
  <r>
    <x v="0"/>
    <x v="0"/>
    <s v="OWENSES"/>
    <s v="Houston, TX"/>
    <n v="84893"/>
    <d v="2000-01-01T00:00:00.000"/>
    <n v="3230.317824"/>
    <n v="2974.17216"/>
    <n v="-7.92942607990266"/>
    <n v="79130.29"/>
    <n v="72177.93"/>
    <n v="-8.78596552596989"/>
    <n v="5015"/>
    <n v="5590"/>
    <n v="11.465603190428714"/>
  </r>
  <r>
    <x v="0"/>
    <x v="0"/>
    <s v="POPEES"/>
    <s v="Cypress, TX"/>
    <n v="112970"/>
    <d v="2000-01-01T00:00:00.000"/>
    <n v="2910.627072"/>
    <n v="3029.2008959999994"/>
    <n v="4.07382399279764"/>
    <n v="70793.66"/>
    <n v="63940.15"/>
    <n v="-9.680965781399069"/>
    <n v="4230"/>
    <n v="4154"/>
    <n v="-1.7966903073286054"/>
  </r>
  <r>
    <x v="0"/>
    <x v="0"/>
    <s v="POSTES"/>
    <s v="Houston, TX"/>
    <n v="104852"/>
    <d v="2000-01-01T00:00:00.000"/>
    <n v="3364.614144"/>
    <n v="3227.6974079999995"/>
    <n v="-4.06931464174456"/>
    <n v="87306.38"/>
    <n v="75541.31"/>
    <n v="-13.475613122431604"/>
    <n v="5657"/>
    <n v="5356"/>
    <n v="-5.3208414353897835"/>
  </r>
  <r>
    <x v="0"/>
    <x v="0"/>
    <s v="POSTMAES"/>
    <s v="Cypress, TX"/>
    <n v="100456"/>
    <d v="2000-01-01T00:00:00.000"/>
    <n v="3078.3336959999997"/>
    <n v="3181.8401280000003"/>
    <n v="3.362417535645898"/>
    <n v="80184.92"/>
    <n v="71784.53"/>
    <n v="-10.476271598200759"/>
    <n v="5135"/>
    <n v="4887"/>
    <n v="-4.829600778967867"/>
  </r>
  <r>
    <x v="3"/>
    <x v="0"/>
    <s v="PRIDGEONSTADIUM"/>
    <s v="Houston, TX"/>
    <n v="86181"/>
    <d v="2000-01-01T00:00:00.000"/>
    <n v="2062.5949439999995"/>
    <n v="2278.7792640000002"/>
    <n v="10.481181515007174"/>
    <n v="52118.64"/>
    <n v="50324.5"/>
    <n v="-3.442415228025904"/>
    <n v="3000"/>
    <n v="3246"/>
    <n v="8.2"/>
  </r>
  <r>
    <x v="3"/>
    <x v="0"/>
    <s v="RECYCLECENTER"/>
    <s v="Houston, TX"/>
    <n v="0"/>
    <d v="2000-01-01T00:00:00.000"/>
    <n v="43.891968000000006"/>
    <n v="53.39097600000001"/>
    <n v="21.641791044776124"/>
    <n v="1761.5"/>
    <n v="1829.72"/>
    <n v="3.8728356514334377"/>
    <n v="137"/>
    <n v="150"/>
    <n v="9.489051094890511"/>
  </r>
  <r>
    <x v="0"/>
    <x v="0"/>
    <s v="REEDES"/>
    <s v="Houston, TX"/>
    <n v="90012"/>
    <d v="2000-01-01T00:00:00.000"/>
    <n v="3595.2107519999995"/>
    <n v="2714.750976"/>
    <n v="-24.489795918367346"/>
    <n v="86618.39"/>
    <n v="65321.12"/>
    <n v="-24.5874692429633"/>
    <n v="5222"/>
    <n v="4768"/>
    <n v="-8.693986978169283"/>
  </r>
  <r>
    <x v="0"/>
    <x v="0"/>
    <s v="RENNELLES"/>
    <s v="Cypress, TX"/>
    <n v="110549"/>
    <d v="2000-01-01T00:00:00.000"/>
    <n v="1958.341284"/>
    <n v="1956.782"/>
    <n v="-0.07962268950463153"/>
    <n v="42095.94"/>
    <n v="38170.34"/>
    <n v="-9.3253648689161"/>
    <n v="2123"/>
    <n v="2129"/>
    <n v="0.2826189354686764"/>
  </r>
  <r>
    <x v="0"/>
    <x v="0"/>
    <s v="ROBINSONES"/>
    <s v="Katy, TX"/>
    <n v="96996"/>
    <d v="2000-01-01T00:00:00.000"/>
    <n v="3116.9848319999996"/>
    <n v="2919.143424"/>
    <n v="-6.3472047078604446"/>
    <n v="79518.32"/>
    <n v="69904.39"/>
    <n v="-12.090207640201655"/>
    <n v="5079"/>
    <n v="5171"/>
    <n v="1.8113801929513684"/>
  </r>
  <r>
    <x v="0"/>
    <x v="0"/>
    <s v="ROBISONES"/>
    <s v="Cypress, TX"/>
    <n v="92346"/>
    <d v="2000-01-01T00:00:00.000"/>
    <n v="2479.56864"/>
    <n v="2505.7728"/>
    <n v="1.05680317040951"/>
    <n v="54956.11"/>
    <n v="48486.22"/>
    <n v="-11.77283108284047"/>
    <n v="2755"/>
    <n v="2730"/>
    <n v="-0.9074410163339383"/>
  </r>
  <r>
    <x v="2"/>
    <x v="0"/>
    <s v="SALYARDSMS"/>
    <s v="Cypress, TX"/>
    <n v="240580"/>
    <d v="2000-01-01T00:00:00.000"/>
    <n v="7059.9943920000005"/>
    <n v="7132.12066"/>
    <n v="1.021619338419436"/>
    <n v="160436.94"/>
    <n v="149181.05"/>
    <n v="-7.015772053493416"/>
    <n v="10450"/>
    <n v="9901"/>
    <n v="-5.253588516746412"/>
  </r>
  <r>
    <x v="0"/>
    <x v="0"/>
    <s v="SAMPSONES"/>
    <s v="Cypress, TX"/>
    <n v="96096"/>
    <d v="2000-01-01T00:00:00.000"/>
    <n v="3836.289024"/>
    <n v="3374.8501440000005"/>
    <n v="-12.028261612021852"/>
    <n v="96612.69"/>
    <n v="78435.48"/>
    <n v="-18.814515981285687"/>
    <n v="6040"/>
    <n v="5772"/>
    <n v="-4.437086092715232"/>
  </r>
  <r>
    <x v="3"/>
    <x v="0"/>
    <s v="SATELLITECOLDFOODWAREHOUSE"/>
    <s v="Cypress, TX"/>
    <n v="22020"/>
    <d v="2000-01-01T00:00:00.000"/>
    <n v="5261.140224"/>
    <n v="5274.917879999999"/>
    <n v="0.2618758560577621"/>
    <n v="102666.51"/>
    <n v="89165.45"/>
    <n v="-13.150403184056806"/>
    <n v="3827"/>
    <n v="3626"/>
    <n v="-5.252155735563105"/>
  </r>
  <r>
    <x v="0"/>
    <x v="0"/>
    <s v="SHERIDANES"/>
    <s v="Katy, TX"/>
    <n v="91338"/>
    <d v="2000-01-01T00:00:00.000"/>
    <n v="3948.6939519999996"/>
    <n v="3551.973888000001"/>
    <n v="-10.046867871313797"/>
    <n v="96838.34"/>
    <n v="79963.9"/>
    <n v="-17.425370984260987"/>
    <n v="6057"/>
    <n v="5664"/>
    <n v="-6.488360574541852"/>
  </r>
  <r>
    <x v="2"/>
    <x v="0"/>
    <s v="SMITHMS"/>
    <s v="Cypress, TX"/>
    <n v="227015"/>
    <d v="2000-01-01T00:00:00.000"/>
    <n v="5024.64768"/>
    <n v="4991.89248"/>
    <n v="-0.6518904823989492"/>
    <n v="109879.77"/>
    <n v="97629.57"/>
    <n v="-11.148731017547634"/>
    <n v="5509"/>
    <n v="5424"/>
    <n v="-1.5429297513160285"/>
  </r>
  <r>
    <x v="2"/>
    <x v="0"/>
    <s v="SPILLANEMS"/>
    <s v="Cypress, TX"/>
    <n v="235889"/>
    <d v="2000-01-01T00:00:00.000"/>
    <n v="7921.869004"/>
    <n v="6808.533404"/>
    <n v="-14.053951150136948"/>
    <n v="163392.74"/>
    <n v="128770.89"/>
    <n v="-21.189344153234714"/>
    <n v="6620"/>
    <n v="6054"/>
    <n v="-8.549848942598187"/>
  </r>
  <r>
    <x v="0"/>
    <x v="0"/>
    <s v="SWENKEES"/>
    <s v="Cypress, TX"/>
    <n v="107914"/>
    <d v="2000-01-01T00:00:00.000"/>
    <n v="3306.6374399999995"/>
    <n v="3399.9897600000004"/>
    <n v="2.8231797919762496"/>
    <n v="82238.08"/>
    <n v="76214.86"/>
    <n v="-7.324125271407114"/>
    <n v="5032"/>
    <n v="5343"/>
    <n v="6.180445151033386"/>
  </r>
  <r>
    <x v="3"/>
    <x v="0"/>
    <s v="TELGETRANS"/>
    <s v="Cypress, TX"/>
    <n v="19649"/>
    <d v="2000-01-01T00:00:00.000"/>
    <n v="1423.4864000000002"/>
    <n v="1142.3375999999998"/>
    <n v="-19.75071907957815"/>
    <n v="29941.16"/>
    <n v="21976.6"/>
    <n v="-26.600706185064304"/>
    <n v="1418"/>
    <n v="1186"/>
    <n v="-16.361071932299012"/>
  </r>
  <r>
    <x v="2"/>
    <x v="0"/>
    <s v="THORNTONMS"/>
    <s v="Katy, TX"/>
    <n v="194432"/>
    <d v="2000-01-01T00:00:00.000"/>
    <n v="7804.131120000001"/>
    <n v="6809.440995999999"/>
    <n v="-12.745686979180343"/>
    <n v="170565.61"/>
    <n v="137991.7"/>
    <n v="-19.09758362192707"/>
    <n v="7446"/>
    <n v="8146"/>
    <n v="9.4010206822455"/>
  </r>
  <r>
    <x v="0"/>
    <x v="0"/>
    <s v="TIPPSES"/>
    <s v="Houston, TX"/>
    <n v="101727"/>
    <d v="2000-01-01T00:00:00.000"/>
    <n v="3900.758764"/>
    <n v="3730.564792"/>
    <n v="-4.363099137806617"/>
    <n v="91560.4"/>
    <n v="84275.34"/>
    <n v="-7.956562007155932"/>
    <n v="4993"/>
    <n v="4835"/>
    <n v="-3.1644302022831967"/>
  </r>
  <r>
    <x v="2"/>
    <x v="0"/>
    <s v="TRUITTMS"/>
    <s v="Houston, TX"/>
    <n v="208340"/>
    <d v="2000-01-01T00:00:00.000"/>
    <n v="6282.150516"/>
    <n v="5712.8822"/>
    <n v="-9.061679030932668"/>
    <n v="140376.25"/>
    <n v="118766.51"/>
    <n v="-15.394156775095503"/>
    <n v="8062"/>
    <n v="7002"/>
    <n v="-13.148102207888861"/>
  </r>
  <r>
    <x v="0"/>
    <x v="0"/>
    <s v="WALKERES"/>
    <s v="Katy, TX"/>
    <n v="98490"/>
    <d v="2000-01-01T00:00:00.000"/>
    <n v="3750.1292"/>
    <n v="3988.819072"/>
    <n v="6.364843963242646"/>
    <n v="90727.38"/>
    <n v="85520.81"/>
    <n v="-5.738697623583972"/>
    <n v="5108"/>
    <n v="4526"/>
    <n v="-11.39389193422083"/>
  </r>
  <r>
    <x v="0"/>
    <x v="0"/>
    <s v="WARNERES"/>
    <s v="Cypress, TX"/>
    <n v="99987"/>
    <d v="2000-01-01T00:00:00.000"/>
    <n v="2562.470004"/>
    <n v="2247.9859640000004"/>
    <n v="-12.27269156357311"/>
    <n v="55728.9"/>
    <n v="45703.23"/>
    <n v="-17.990073373061374"/>
    <n v="2759"/>
    <n v="2671"/>
    <n v="-3.189561435302646"/>
  </r>
  <r>
    <x v="2"/>
    <x v="0"/>
    <s v="WATKINSMS"/>
    <s v="Houston, TX"/>
    <n v="217165"/>
    <d v="2000-01-01T00:00:00.000"/>
    <n v="6383.875884000001"/>
    <n v="6411.953231999999"/>
    <n v="0.43981663350266714"/>
    <n v="148555.75"/>
    <n v="133568.54"/>
    <n v="-10.088609831662524"/>
    <n v="7552"/>
    <n v="8020"/>
    <n v="6.197033898305085"/>
  </r>
  <r>
    <x v="0"/>
    <x v="0"/>
    <s v="WELLSES"/>
    <s v="Cypress, TX"/>
    <n v="122878"/>
    <d v="2000-01-01T00:00:00.000"/>
    <n v="3458.94912"/>
    <n v="3442.5715200000004"/>
    <n v="-0.47348484848483435"/>
    <n v="88402.46"/>
    <n v="78349.03"/>
    <n v="-11.372341900892803"/>
    <n v="5702"/>
    <n v="5262"/>
    <n v="-7.716590669940372"/>
  </r>
  <r>
    <x v="3"/>
    <x v="0"/>
    <s v="WESTGREENAGSCIENCECENTER"/>
    <s v="Cypress, TX"/>
    <n v="20124"/>
    <d v="2000-01-01T00:00:00.000"/>
    <n v="404.19916800000004"/>
    <n v="349.825536"/>
    <n v="-13.452188006482997"/>
    <n v="8886.45"/>
    <n v="7033.83"/>
    <n v="-20.847695086339314"/>
    <n v="434"/>
    <n v="390"/>
    <n v="-10.138248847926267"/>
  </r>
  <r>
    <x v="3"/>
    <x v="0"/>
    <s v="WESTGREENTRANS"/>
    <s v="Cypress, TX"/>
    <n v="45340"/>
    <d v="2000-01-01T00:00:00.000"/>
    <n v="1802.9826879999998"/>
    <n v="1842.1524479999998"/>
    <n v="2.1724978426415125"/>
    <n v="37079.03"/>
    <n v="34122.65"/>
    <n v="-7.973185922069698"/>
    <n v="1589"/>
    <n v="1744"/>
    <n v="9.754562617998742"/>
  </r>
  <r>
    <x v="0"/>
    <x v="0"/>
    <s v="WILLBERNES"/>
    <s v="Houston, TX"/>
    <n v="89993"/>
    <d v="2000-01-01T00:00:00.000"/>
    <n v="2700.3386880000007"/>
    <n v="2733.748992"/>
    <n v="1.237263464337674"/>
    <n v="66767.25"/>
    <n v="60113.63"/>
    <n v="-9.965394710730186"/>
    <n v="3965"/>
    <n v="3934"/>
    <n v="-0.7818411097099621"/>
  </r>
  <r>
    <x v="0"/>
    <x v="0"/>
    <s v="WILSONES"/>
    <s v="Houston, TX"/>
    <n v="84992"/>
    <d v="2000-01-01T00:00:00.000"/>
    <n v="2825.4635519999997"/>
    <n v="2950.588416"/>
    <n v="4.428472061210293"/>
    <n v="73898.28"/>
    <n v="69315.83"/>
    <n v="-6.201023893925542"/>
    <n v="4995"/>
    <n v="5259"/>
    <n v="5.285285285285286"/>
  </r>
  <r>
    <x v="1"/>
    <x v="0"/>
    <s v="WINDFERNANNEX"/>
    <s v="Houston, TX"/>
    <n v="41975"/>
    <d v="2000-01-01T00:00:00.000"/>
    <n v="2511.668736"/>
    <n v="2469.74208"/>
    <n v="-1.6692749087115197"/>
    <n v="57495.28"/>
    <n v="50413.11"/>
    <n v="-12.31782852435887"/>
    <n v="2952"/>
    <n v="3071"/>
    <n v="4.031165311653116"/>
  </r>
  <r>
    <x v="1"/>
    <x v="0"/>
    <s v="WINDFERNHS"/>
    <s v="Houston, TX"/>
    <n v="50022"/>
    <d v="2000-01-01T00:00:00.000"/>
    <n v="2033.4428159999995"/>
    <n v="1943.0043439999997"/>
    <n v="-4.447554231099652"/>
    <n v="55557.07"/>
    <n v="47721.41"/>
    <n v="-14.103803530315764"/>
    <n v="3925"/>
    <n v="3756"/>
    <n v="-4.305732484076433"/>
  </r>
  <r>
    <x v="0"/>
    <x v="0"/>
    <s v="WOODARDES"/>
    <s v="Cypress, TX"/>
    <n v="115438"/>
    <d v="2000-01-01T00:00:00.000"/>
    <n v="3274.7011200000006"/>
    <n v="3323.8339200000005"/>
    <n v="1.5003750937734335"/>
    <n v="83255.41"/>
    <n v="78771.31"/>
    <n v="-5.38595630001702"/>
    <n v="5745"/>
    <n v="5688"/>
    <n v="-0.9921671018276763"/>
  </r>
  <r>
    <x v="0"/>
    <x v="0"/>
    <s v="YEAGERES"/>
    <s v="Houston, TX"/>
    <n v="81794"/>
    <d v="2000-01-01T00:00:00.000"/>
    <n v="3251.6087039999998"/>
    <n v="3193.6319999999996"/>
    <n v="-1.783016016923543"/>
    <n v="84403.23"/>
    <n v="75335.26"/>
    <n v="-10.743629124146077"/>
    <n v="5452"/>
    <n v="5496"/>
    <n v="0.8070432868672047"/>
  </r>
</pivotCacheRecords>
</file>

<file path=xl/pivotCache/pivotCacheRecords3.xml><?xml version="1.0" encoding="utf-8"?>
<pivotCacheRecords xmlns="http://schemas.openxmlformats.org/spreadsheetml/2006/main" xmlns:r="http://schemas.openxmlformats.org/officeDocument/2006/relationships" count="412">
  <r>
    <x v="0"/>
    <x v="0"/>
    <s v="ADAM-ES"/>
    <s v="Houston, TX"/>
    <n v="109321"/>
    <d v="2000-01-01T00:00:00.000"/>
    <n v="3687.41664"/>
    <n v="3731.63616"/>
    <n v="1.199200532978012"/>
    <n v="92005.63"/>
    <n v="83845.05"/>
    <n v="-8.8696528679821"/>
    <n v="5990"/>
    <n v="5925"/>
    <n v="-1.0851419031719534"/>
  </r>
  <r>
    <x v="1"/>
    <x v="0"/>
    <s v="ALCABC"/>
    <s v="Houston, TX"/>
    <n v="56061"/>
    <d v="2000-01-01T00:00:00.000"/>
    <n v="2682.6508799999997"/>
    <n v="2507.083008"/>
    <n v="-6.54456654456653"/>
    <n v="66699.75"/>
    <n v="57548.75"/>
    <n v="-13.71969160304199"/>
    <n v="4213"/>
    <n v="4246"/>
    <n v="0.783289817232376"/>
  </r>
  <r>
    <x v="1"/>
    <x v="0"/>
    <s v="ALCWEST"/>
    <s v="Katy, TX"/>
    <n v="50839"/>
    <d v="2000-01-01T00:00:00.000"/>
    <n v="1633.501824"/>
    <n v="1845.100416"/>
    <n v="12.953679566873875"/>
    <n v="41098.28"/>
    <n v="40143.02"/>
    <n v="-2.3243308479089633"/>
    <n v="2568"/>
    <n v="2632"/>
    <n v="2.492211838006231"/>
  </r>
  <r>
    <x v="0"/>
    <x v="0"/>
    <s v="ANDREES"/>
    <s v="Cypress, TX"/>
    <n v="107836"/>
    <d v="2000-01-01T00:00:00.000"/>
    <n v="3939.1403519999994"/>
    <n v="3862.493184"/>
    <n v="-1.9457841343755038"/>
    <n v="95655.72"/>
    <n v="83470.42"/>
    <n v="-12.738705014190472"/>
    <n v="5653"/>
    <n v="5450"/>
    <n v="-3.5910136210861494"/>
  </r>
  <r>
    <x v="2"/>
    <x v="0"/>
    <s v="ANTHONYMS"/>
    <s v="Cypress, TX"/>
    <n v="244123"/>
    <d v="2000-01-01T00:00:00.000"/>
    <n v="6516.442320000001"/>
    <n v="6930.392984"/>
    <n v="6.35240279392205"/>
    <n v="152597.41"/>
    <n v="148222.56"/>
    <n v="-2.8669228396471476"/>
    <n v="10812"/>
    <n v="11233"/>
    <n v="3.8938216796152427"/>
  </r>
  <r>
    <x v="2"/>
    <x v="0"/>
    <s v="ARAGONMS"/>
    <s v="Houston, TX"/>
    <n v="219821"/>
    <d v="2000-01-01T00:00:00.000"/>
    <n v="7722.809512000002"/>
    <n v="7749.279808"/>
    <n v="0.3427547443565499"/>
    <n v="197642.59"/>
    <n v="160667.83"/>
    <n v="-18.707890844781986"/>
    <n v="10866"/>
    <n v="10265"/>
    <n v="-5.531014172648629"/>
  </r>
  <r>
    <x v="2"/>
    <x v="0"/>
    <s v="ARNOLDMS"/>
    <s v="Cypress, TX"/>
    <n v="211238"/>
    <d v="2000-01-01T00:00:00.000"/>
    <n v="7784.402935999999"/>
    <n v="7975.051848"/>
    <n v="2.4491141268949583"/>
    <n v="145824.96"/>
    <n v="145448.18"/>
    <n v="-0.25837826391311886"/>
    <n v="6250"/>
    <n v="6341"/>
    <n v="1.456"/>
  </r>
  <r>
    <x v="0"/>
    <x v="0"/>
    <s v="AULTES"/>
    <s v="Cypress, TX"/>
    <n v="89416"/>
    <d v="2000-01-01T00:00:00.000"/>
    <n v="2421.264384"/>
    <n v="1956.1405439999999"/>
    <n v="-19.209956709956707"/>
    <n v="62005.56"/>
    <n v="45215.28"/>
    <n v="-27.078668429089262"/>
    <n v="3575"/>
    <n v="2973"/>
    <n v="-16.83916083916084"/>
  </r>
  <r>
    <x v="0"/>
    <x v="0"/>
    <s v="BANEES"/>
    <s v="Houston, TX"/>
    <n v="106804"/>
    <d v="2000-01-01T00:00:00.000"/>
    <n v="3570.9719039999995"/>
    <n v="3502.8410879999997"/>
    <n v="-1.9079068060906192"/>
    <n v="90653.14"/>
    <n v="81293.87"/>
    <n v="-10.32426455388087"/>
    <n v="5675"/>
    <n v="5619"/>
    <n v="-0.986784140969163"/>
  </r>
  <r>
    <x v="0"/>
    <x v="0"/>
    <s v="BANGES"/>
    <s v="Houston, TX"/>
    <n v="85320"/>
    <d v="2000-01-01T00:00:00.000"/>
    <n v="2801.5522559999995"/>
    <n v="2500.85952"/>
    <n v="-10.733076113644323"/>
    <n v="69866.19"/>
    <n v="57222.27"/>
    <n v="-18.097337209886497"/>
    <n v="4104"/>
    <n v="3727"/>
    <n v="-9.18615984405458"/>
  </r>
  <r>
    <x v="3"/>
    <x v="0"/>
    <s v="BARKERTRANS"/>
    <s v="Houston, TX"/>
    <n v="22677"/>
    <d v="2000-01-01T00:00:00.000"/>
    <n v="1344.6009600000002"/>
    <n v="1149.052416"/>
    <n v="-14.543239951278947"/>
    <n v="29071.1"/>
    <n v="22460.85"/>
    <n v="-22.738217680101542"/>
    <n v="1470"/>
    <n v="1297"/>
    <n v="-11.768707482993198"/>
  </r>
  <r>
    <x v="3"/>
    <x v="0"/>
    <s v="BERRYCENTER"/>
    <s v="Cypress, TX"/>
    <n v="491434"/>
    <d v="2000-01-01T00:00:00.000"/>
    <n v="17888.003687999997"/>
    <n v="18486.700504000004"/>
    <n v="3.346918004056735"/>
    <n v="394395.38"/>
    <n v="359401.35"/>
    <n v="-8.872829595519097"/>
    <n v="17884"/>
    <n v="18054"/>
    <n v="0.9505703422053231"/>
  </r>
  <r>
    <x v="0"/>
    <x v="0"/>
    <s v="BIRKESES"/>
    <s v="Houston, TX"/>
    <n v="106488"/>
    <d v="2000-01-01T00:00:00.000"/>
    <n v="4598.83008"/>
    <n v="4208.388096000001"/>
    <n v="-8.490028490028475"/>
    <n v="110946.37"/>
    <n v="91267.09"/>
    <n v="-17.73765108313143"/>
    <n v="6880"/>
    <n v="6244"/>
    <n v="-9.244186046511627"/>
  </r>
  <r>
    <x v="0"/>
    <x v="0"/>
    <s v="BLACKES"/>
    <s v="Cypress, TX"/>
    <n v="97384"/>
    <d v="2000-01-01T00:00:00.000"/>
    <n v="3240.9086720000005"/>
    <n v="3103.8827520000004"/>
    <n v="-4.228009298251525"/>
    <n v="80132.86"/>
    <n v="71456.06"/>
    <n v="-10.82801737015252"/>
    <n v="4878"/>
    <n v="5045"/>
    <n v="3.4235342353423532"/>
  </r>
  <r>
    <x v="2"/>
    <x v="0"/>
    <s v="BLEYLMS"/>
    <s v="Houston, TX"/>
    <n v="229363"/>
    <d v="2000-01-01T00:00:00.000"/>
    <n v="7213.145423999999"/>
    <n v="6747.902164"/>
    <n v="-6.449935952379587"/>
    <n v="170915.84"/>
    <n v="140671.25"/>
    <n v="-17.69560387147265"/>
    <n v="8001"/>
    <n v="7303"/>
    <n v="-8.723909511311087"/>
  </r>
  <r>
    <x v="3"/>
    <x v="0"/>
    <s v="BRADLEYPOLICESTATION"/>
    <s v="Cypress, TX"/>
    <n v="18144"/>
    <d v="2000-01-01T00:00:00.000"/>
    <n v="1850.6688000000001"/>
    <n v="1957.7783040000002"/>
    <n v="5.787610619469026"/>
    <n v="36083.66"/>
    <n v="33906.99"/>
    <n v="-6.032287190379247"/>
    <n v="1361"/>
    <n v="1507"/>
    <n v="10.727406318883174"/>
  </r>
  <r>
    <x v="1"/>
    <x v="0"/>
    <s v="BRAUTIGAMCENTER"/>
    <s v="Houston, TX"/>
    <n v="85995"/>
    <m/>
    <n v="3395.9465400000004"/>
    <n v="2646.5382719999993"/>
    <n v="-22.06772866336114"/>
    <n v="85582.3"/>
    <n v="57831.59"/>
    <n v="-32.425758597280044"/>
    <n v="3740"/>
    <n v="3136"/>
    <n v="-16.149732620320854"/>
  </r>
  <r>
    <x v="4"/>
    <x v="0"/>
    <s v="BRIDGELANDHS"/>
    <s v="Cypress, TX"/>
    <n v="573468"/>
    <d v="2000-01-01T00:00:00.000"/>
    <n v="16161.006239999999"/>
    <n v="18077.15132"/>
    <n v="11.856595137358253"/>
    <n v="383517.79"/>
    <n v="378802.98"/>
    <n v="-1.2293588779806017"/>
    <n v="23847"/>
    <n v="25360"/>
    <n v="6.344613578227869"/>
  </r>
  <r>
    <x v="2"/>
    <x v="0"/>
    <s v="CAMPBELLMS"/>
    <s v="Houston, TX"/>
    <n v="233575"/>
    <d v="2000-01-01T00:00:00.000"/>
    <n v="9543.101276"/>
    <n v="8693.079952"/>
    <n v="-8.907181213068789"/>
    <n v="235922.66"/>
    <n v="185774.22"/>
    <n v="-21.256304926368667"/>
    <n v="11940"/>
    <n v="10789"/>
    <n v="-9.639865996649917"/>
  </r>
  <r>
    <x v="3"/>
    <x v="0"/>
    <s v="CFISDNATATORIUM"/>
    <s v="Houston, TX"/>
    <n v="49471"/>
    <d v="2000-01-01T00:00:00.000"/>
    <n v="10955.638567999997"/>
    <n v="12853.798996"/>
    <n v="17.32587668184201"/>
    <n v="221954.89"/>
    <n v="229066.48"/>
    <n v="3.2040699801657895"/>
    <n v="8248"/>
    <n v="9206"/>
    <n v="11.61493695441319"/>
  </r>
  <r>
    <x v="2"/>
    <x v="0"/>
    <s v="COOKMS"/>
    <s v="Houston, TX"/>
    <n v="204629"/>
    <d v="2000-01-01T00:00:00.000"/>
    <n v="7078.511316"/>
    <n v="6967.979576000001"/>
    <n v="-1.5615111012135707"/>
    <n v="153788.23"/>
    <n v="142773.51"/>
    <n v="-7.162264628443933"/>
    <n v="8758"/>
    <n v="8169"/>
    <n v="-6.725279744233843"/>
  </r>
  <r>
    <x v="0"/>
    <x v="0"/>
    <s v="COPELANDES"/>
    <s v="Houston, TX"/>
    <n v="86318"/>
    <d v="2000-01-01T00:00:00.000"/>
    <n v="3139.5859200000004"/>
    <n v="3193.632"/>
    <n v="1.7214397496087472"/>
    <n v="82943.86"/>
    <n v="74828.91"/>
    <n v="-9.783665722815408"/>
    <n v="5806"/>
    <n v="5602"/>
    <n v="-3.5136066138477435"/>
  </r>
  <r>
    <x v="4"/>
    <x v="0"/>
    <s v="CY-CREEKHS"/>
    <s v="Houston, TX"/>
    <n v="525576"/>
    <d v="2000-01-01T00:00:00.000"/>
    <n v="17419.42008"/>
    <n v="19897.876408"/>
    <n v="14.228121927236987"/>
    <n v="445629.77"/>
    <n v="387714.03"/>
    <n v="-12.996380380960634"/>
    <n v="22775"/>
    <n v="22271"/>
    <n v="-2.2129527991218443"/>
  </r>
  <r>
    <x v="3"/>
    <x v="0"/>
    <s v="CY-FAIRCOMPLEXRETENTIONPOND"/>
    <s v="Cypress, TX"/>
    <n v="0"/>
    <d v="2000-01-01T00:00:00.000"/>
    <n v="9.20793"/>
    <n v="3.831676"/>
    <n v="-58.387216236439684"/>
    <n v="1502.23"/>
    <n v="1002.49"/>
    <n v="-33.266543738309046"/>
    <n v="177"/>
    <n v="116"/>
    <n v="-34.463276836158194"/>
  </r>
  <r>
    <x v="4"/>
    <x v="0"/>
    <s v="CY-FAIRHS"/>
    <s v="Cypress, TX"/>
    <n v="507380"/>
    <m/>
    <n v="21060.576824000003"/>
    <n v="23366.594083999997"/>
    <n v="10.949449672110239"/>
    <n v="434552.14"/>
    <n v="416905.79"/>
    <n v="-4.060813047658677"/>
    <n v="22630"/>
    <n v="22785"/>
    <n v="0.684931506849315"/>
  </r>
  <r>
    <x v="3"/>
    <x v="0"/>
    <s v="CY-FAIRHS-BALLFIELD"/>
    <s v="Cypress, TX"/>
    <n v="0"/>
    <d v="2000-01-01T00:00:00.000"/>
    <n v="115.953408"/>
    <n v="145.43308800000003"/>
    <n v="25.423728813559347"/>
    <n v="13338.39"/>
    <n v="17176.48"/>
    <n v="28.77476217144648"/>
    <n v="1363"/>
    <n v="2304"/>
    <n v="69.0388848129127"/>
  </r>
  <r>
    <x v="4"/>
    <x v="0"/>
    <s v="CY-FALLSHS"/>
    <s v="Houston, TX"/>
    <n v="578719"/>
    <d v="2000-01-01T00:00:00.000"/>
    <n v="20998.495484"/>
    <n v="15574.647215999998"/>
    <n v="-25.829699428384057"/>
    <n v="437731.79"/>
    <n v="318614.37"/>
    <n v="-27.212421560700445"/>
    <n v="14154"/>
    <n v="14920"/>
    <n v="5.411897696764165"/>
  </r>
  <r>
    <x v="4"/>
    <x v="0"/>
    <s v="CY-LAKESHS"/>
    <s v="Katy, TX"/>
    <n v="520212"/>
    <d v="2000-01-01T00:00:00.000"/>
    <n v="20068.07038"/>
    <n v="20200.841536"/>
    <n v="0.661603998221572"/>
    <n v="423688.36"/>
    <n v="386366.43"/>
    <n v="-8.80881646123108"/>
    <n v="20539"/>
    <n v="21996"/>
    <n v="7.093821510297483"/>
  </r>
  <r>
    <x v="4"/>
    <x v="0"/>
    <s v="CY-PARKHS"/>
    <s v="Cypress, TX"/>
    <n v="590057"/>
    <d v="2000-01-01T00:00:00.000"/>
    <n v="18319.474972"/>
    <n v="19319.10226"/>
    <n v="5.4566372100066065"/>
    <n v="405403.42"/>
    <n v="418133.42"/>
    <n v="3.140082044695134"/>
    <n v="27495"/>
    <n v="30334"/>
    <n v="10.32551372976905"/>
  </r>
  <r>
    <x v="4"/>
    <x v="0"/>
    <s v="CY-RANCHHS"/>
    <s v="Cypress, TX"/>
    <n v="530203"/>
    <d v="2000-01-01T00:00:00.000"/>
    <n v="22312.040419999998"/>
    <n v="22826.737208000002"/>
    <n v="2.306811830345382"/>
    <n v="600208.83"/>
    <n v="526022.69"/>
    <n v="-12.360054749611065"/>
    <n v="39071"/>
    <n v="39991"/>
    <n v="2.3546876199738938"/>
  </r>
  <r>
    <x v="4"/>
    <x v="0"/>
    <s v="CY-RIDGEHS"/>
    <s v="Houston, TX"/>
    <n v="497661"/>
    <d v="2000-01-01T00:00:00.000"/>
    <n v="18846.772276000003"/>
    <n v="17884.134479999997"/>
    <n v="-5.1077064120197075"/>
    <n v="413059.9"/>
    <n v="346177.65"/>
    <n v="-16.191900980947317"/>
    <n v="19387"/>
    <n v="19058"/>
    <n v="-1.697013462629597"/>
  </r>
  <r>
    <x v="4"/>
    <x v="0"/>
    <s v="CY-SPRINGSHS"/>
    <s v="Cypress, TX"/>
    <n v="477795"/>
    <d v="2000-01-01T00:00:00.000"/>
    <n v="18913.927259999997"/>
    <n v="18138.348952"/>
    <n v="-4.100567255750348"/>
    <n v="430266.15"/>
    <n v="361916.91"/>
    <n v="-15.885339806536024"/>
    <n v="19841"/>
    <n v="18739"/>
    <n v="-5.554155536515297"/>
  </r>
  <r>
    <x v="4"/>
    <x v="0"/>
    <s v="CY-WOODSHS"/>
    <s v="Cypress, TX"/>
    <n v="535914"/>
    <d v="2000-01-01T00:00:00.000"/>
    <n v="12314.535807999999"/>
    <n v="12107.420584"/>
    <n v="-1.681876014079629"/>
    <n v="264014.73"/>
    <n v="227934.11"/>
    <n v="-13.666139006713754"/>
    <n v="12975"/>
    <n v="12959"/>
    <n v="-0.1233140655105973"/>
  </r>
  <r>
    <x v="0"/>
    <x v="0"/>
    <s v="DANISHES"/>
    <s v="Houston, TX"/>
    <n v="99588"/>
    <d v="2000-01-01T00:00:00.000"/>
    <n v="3537.6844320000005"/>
    <n v="3787.6339040000003"/>
    <n v="7.065341095409493"/>
    <n v="82784.71"/>
    <n v="83083.9"/>
    <n v="0.36140731784891195"/>
    <n v="4991"/>
    <n v="4776"/>
    <n v="-4.307753957122821"/>
  </r>
  <r>
    <x v="2"/>
    <x v="0"/>
    <s v="DEANMS"/>
    <s v="Houston, TX"/>
    <n v="213572"/>
    <d v="2000-01-01T00:00:00.000"/>
    <n v="8146.153412000001"/>
    <n v="7904.481452000002"/>
    <n v="-2.966700328083617"/>
    <n v="195203.12"/>
    <n v="168256.08"/>
    <n v="-13.804615418032254"/>
    <n v="9942"/>
    <n v="10109"/>
    <n v="1.67974250653792"/>
  </r>
  <r>
    <x v="0"/>
    <x v="0"/>
    <s v="DURYEAES"/>
    <s v="Katy, TX"/>
    <n v="97959"/>
    <d v="2000-01-01T00:00:00.000"/>
    <n v="3134.017536"/>
    <n v="2910.6270719999993"/>
    <n v="-7.1279264214047"/>
    <n v="80674.54"/>
    <n v="69577.21"/>
    <n v="-13.755678061504907"/>
    <n v="5390"/>
    <n v="5167"/>
    <n v="-4.137291280148423"/>
  </r>
  <r>
    <x v="3"/>
    <x v="0"/>
    <s v="ELC1"/>
    <s v="Houston, TX"/>
    <n v="6832"/>
    <d v="2000-01-01T00:00:00.000"/>
    <n v="296.98048"/>
    <n v="254.39872000000003"/>
    <n v="-14.338235294117645"/>
    <n v="7641.57"/>
    <n v="6357.23"/>
    <n v="-16.807279132429592"/>
    <n v="443"/>
    <n v="456"/>
    <n v="2.9345372460496613"/>
  </r>
  <r>
    <x v="3"/>
    <x v="0"/>
    <s v="ELC2"/>
    <s v="Houston, TX"/>
    <n v="4573"/>
    <d v="2000-01-01T00:00:00.000"/>
    <n v="207.889748"/>
    <n v="165.94603199999997"/>
    <n v="-20.175942490439702"/>
    <n v="6592.46"/>
    <n v="4933.93"/>
    <n v="-25.157983514499897"/>
    <n v="418"/>
    <n v="389"/>
    <n v="-6.937799043062202"/>
  </r>
  <r>
    <x v="3"/>
    <x v="0"/>
    <s v="ELDRIDGETRANS"/>
    <s v="Houston, TX"/>
    <n v="26451"/>
    <d v="2000-01-01T00:00:00.000"/>
    <n v="2446.81344"/>
    <n v="2409.472512"/>
    <n v="-1.5261044176706762"/>
    <n v="49411.28"/>
    <n v="43795.78"/>
    <n v="-11.364813864364573"/>
    <n v="2169"/>
    <n v="2202"/>
    <n v="1.5214384508990317"/>
  </r>
  <r>
    <x v="0"/>
    <x v="0"/>
    <s v="EMERYES"/>
    <s v="Katy, TX"/>
    <n v="95366"/>
    <d v="2000-01-01T00:00:00.000"/>
    <n v="2805.48288"/>
    <n v="2903.74848"/>
    <n v="3.50262697022767"/>
    <n v="74469.05"/>
    <n v="69080.12"/>
    <n v="-7.23646937888962"/>
    <n v="5112"/>
    <n v="5198"/>
    <n v="1.6823161189358373"/>
  </r>
  <r>
    <x v="0"/>
    <x v="0"/>
    <s v="EMMOTTES"/>
    <s v="Houston, TX"/>
    <n v="76544"/>
    <d v="2000-01-01T00:00:00.000"/>
    <n v="2898.8352"/>
    <n v="2308.586496"/>
    <n v="-20.36158192090396"/>
    <n v="70502.7"/>
    <n v="57041.2"/>
    <n v="-19.093594997071033"/>
    <n v="3927"/>
    <n v="4313"/>
    <n v="9.829386299974535"/>
  </r>
  <r>
    <x v="3"/>
    <x v="0"/>
    <s v="EXHIBITCENTERSCIENCERESOURCEC"/>
    <s v="Cypress, TX"/>
    <n v="72198"/>
    <d v="2000-01-01T00:00:00.000"/>
    <n v="3372.1478399999996"/>
    <n v="3174.5248000000006"/>
    <n v="-5.8604500566617945"/>
    <n v="69179.91"/>
    <n v="59183.66"/>
    <n v="-14.449642967156217"/>
    <n v="3066"/>
    <n v="3172"/>
    <n v="3.457273320287019"/>
  </r>
  <r>
    <x v="3"/>
    <x v="0"/>
    <s v="EXHIBITCENTERTELGEAG"/>
    <s v="Cypress, TX"/>
    <n v="33198"/>
    <d v="2000-01-01T00:00:00.000"/>
    <n v="1131.8934680000002"/>
    <n v="1062.585512"/>
    <n v="-6.1231872043986355"/>
    <n v="21239.46"/>
    <n v="18092.54"/>
    <n v="-14.81638422069111"/>
    <n v="753"/>
    <n v="759"/>
    <n v="0.796812749003984"/>
  </r>
  <r>
    <x v="3"/>
    <x v="0"/>
    <s v="FALCONCOMPLEX"/>
    <s v="Houston, TX"/>
    <n v="6832"/>
    <d v="2000-01-01T00:00:00.000"/>
    <n v="2761.5909119999997"/>
    <n v="2674.46208"/>
    <n v="-3.155023128928947"/>
    <n v="57345.61"/>
    <n v="48599.33"/>
    <n v="-15.251873683094486"/>
    <n v="2533"/>
    <n v="2402"/>
    <n v="-5.1717331227793135"/>
  </r>
  <r>
    <x v="0"/>
    <x v="0"/>
    <s v="FARNEYES"/>
    <s v="Cypress, TX"/>
    <n v="95036"/>
    <d v="2000-01-01T00:00:00.000"/>
    <n v="4086.2111999999997"/>
    <n v="3657.1180800000006"/>
    <n v="-10.501002004007995"/>
    <n v="103518.45"/>
    <n v="84291.17"/>
    <n v="-18.573771149007737"/>
    <n v="6704"/>
    <n v="6279"/>
    <n v="-6.3394988066825775"/>
  </r>
  <r>
    <x v="0"/>
    <x v="0"/>
    <s v="FIESTES"/>
    <s v="Houston, TX"/>
    <n v="91621"/>
    <d v="2000-01-01T00:00:00.000"/>
    <n v="2977.44768"/>
    <n v="2728.835712"/>
    <n v="-8.349834983498361"/>
    <n v="74091.35"/>
    <n v="60086.95"/>
    <n v="-18.901531690271536"/>
    <n v="4520"/>
    <n v="3855"/>
    <n v="-14.712389380530974"/>
  </r>
  <r>
    <x v="3"/>
    <x v="0"/>
    <s v="FOODPRODUCTIONCENTER"/>
    <s v="Houston, TX"/>
    <n v="57684"/>
    <d v="2000-01-01T00:00:00.000"/>
    <n v="14716.044712000003"/>
    <n v="13226.832956"/>
    <n v="-10.119646855826987"/>
    <n v="301041.48"/>
    <n v="243174.9"/>
    <n v="-19.22212845884228"/>
    <n v="8886"/>
    <n v="8311"/>
    <n v="-6.470853027233851"/>
  </r>
  <r>
    <x v="3"/>
    <x v="0"/>
    <s v="FOODSERVICEWAREHOUSE"/>
    <s v="Houston, TX"/>
    <n v="49742"/>
    <d v="2000-01-01T00:00:00.000"/>
    <n v="2393.750016"/>
    <n v="2563.749504"/>
    <n v="7.10180623973728"/>
    <n v="46059.86"/>
    <n v="46707.84"/>
    <n v="1.406821471016195"/>
    <n v="2235"/>
    <n v="2255"/>
    <n v="0.8948545861297539"/>
  </r>
  <r>
    <x v="0"/>
    <x v="0"/>
    <s v="FRANCONEES"/>
    <s v="Houston, TX"/>
    <n v="90518"/>
    <d v="2000-01-01T00:00:00.000"/>
    <n v="3367.23456"/>
    <n v="3164.0158399999996"/>
    <n v="-6.035181582360581"/>
    <n v="85964.61"/>
    <n v="72669.31"/>
    <n v="-15.466015608050803"/>
    <n v="5445"/>
    <n v="5170"/>
    <n v="-5.05050505050505"/>
  </r>
  <r>
    <x v="0"/>
    <x v="0"/>
    <s v="FRAZIERES"/>
    <s v="Houston, TX"/>
    <n v="85844"/>
    <d v="2000-01-01T00:00:00.000"/>
    <n v="3756.359512"/>
    <n v="3538.714856"/>
    <n v="-5.794031569787615"/>
    <n v="92465.46"/>
    <n v="79938.49"/>
    <n v="-13.547729065534309"/>
    <n v="5681"/>
    <n v="5273"/>
    <n v="-7.181834184122514"/>
  </r>
  <r>
    <x v="0"/>
    <x v="0"/>
    <s v="GLEASONES"/>
    <s v="Houston, TX"/>
    <n v="91424"/>
    <d v="2000-01-01T00:00:00.000"/>
    <n v="3890.3351040000002"/>
    <n v="3704.61312"/>
    <n v="-4.773932811316001"/>
    <n v="90532.15"/>
    <n v="78116.04"/>
    <n v="-13.714586475633242"/>
    <n v="5215"/>
    <n v="5092"/>
    <n v="-2.358581016299137"/>
  </r>
  <r>
    <x v="2"/>
    <x v="0"/>
    <s v="GOODSONMS"/>
    <s v="Cypress, TX"/>
    <n v="218801"/>
    <d v="2000-01-01T00:00:00.000"/>
    <n v="6501.402224000001"/>
    <n v="6697.885655999999"/>
    <n v="3.0221700677844057"/>
    <n v="158947.34"/>
    <n v="138128.37"/>
    <n v="-13.098029825475532"/>
    <n v="9247"/>
    <n v="9034"/>
    <n v="-2.3034497674921597"/>
  </r>
  <r>
    <x v="0"/>
    <x v="0"/>
    <s v="HAIRGROVEES"/>
    <s v="Houston, TX"/>
    <n v="85052"/>
    <d v="2000-01-01T00:00:00.000"/>
    <n v="3399.95564"/>
    <n v="3156.2910719999995"/>
    <n v="-7.166698445512672"/>
    <n v="82736.88"/>
    <n v="70345.92"/>
    <n v="-14.976344285643838"/>
    <n v="5084"/>
    <n v="4910"/>
    <n v="-3.4225019669551533"/>
  </r>
  <r>
    <x v="0"/>
    <x v="0"/>
    <s v="HAMILTONES"/>
    <s v="Cypress, TX"/>
    <n v="85650"/>
    <d v="2000-01-01T00:00:00.000"/>
    <n v="2678.720256"/>
    <n v="2306.293632"/>
    <n v="-13.903154805575937"/>
    <n v="67768.11"/>
    <n v="54417.7"/>
    <n v="-19.700136244023923"/>
    <n v="4065"/>
    <n v="3842"/>
    <n v="-5.485854858548586"/>
  </r>
  <r>
    <x v="2"/>
    <x v="0"/>
    <s v="HAMILTONMS"/>
    <s v="Cypress, TX"/>
    <n v="192751"/>
    <d v="2000-01-01T00:00:00.000"/>
    <n v="7537.817696"/>
    <n v="8676.541988"/>
    <n v="15.106816560504944"/>
    <n v="180264.59"/>
    <n v="165118.34"/>
    <n v="-8.402232518322094"/>
    <n v="8956"/>
    <n v="8717"/>
    <n v="-2.668602054488611"/>
  </r>
  <r>
    <x v="0"/>
    <x v="0"/>
    <s v="HANCOCKES"/>
    <s v="Houston, TX"/>
    <n v="88795"/>
    <d v="2000-01-01T00:00:00.000"/>
    <n v="3674.1507840000004"/>
    <n v="3303.6894720000005"/>
    <n v="-10.082909868948917"/>
    <n v="92330.35"/>
    <n v="77133.4"/>
    <n v="-16.459322422150464"/>
    <n v="5743"/>
    <n v="5527"/>
    <n v="-3.761100470137559"/>
  </r>
  <r>
    <x v="0"/>
    <x v="0"/>
    <s v="HEMMENWAYES"/>
    <s v="Katy, TX"/>
    <n v="96483"/>
    <d v="2000-01-01T00:00:00.000"/>
    <n v="2779.606272"/>
    <n v="2868.700416"/>
    <n v="3.2052792835258104"/>
    <n v="77491.31"/>
    <n v="73350.21"/>
    <n v="-5.343954051105859"/>
    <n v="5552"/>
    <n v="5804"/>
    <n v="4.538904899135447"/>
  </r>
  <r>
    <x v="0"/>
    <x v="0"/>
    <s v="HOLBROOKES"/>
    <s v="Houston, TX"/>
    <n v="99937"/>
    <d v="2000-01-01T00:00:00.000"/>
    <n v="3552.6289920000004"/>
    <n v="3578.833152"/>
    <n v="0.7375991148810531"/>
    <n v="96312.58"/>
    <n v="84514.37"/>
    <n v="-12.249915846922592"/>
    <n v="6213"/>
    <n v="5903"/>
    <n v="-4.989538065346853"/>
  </r>
  <r>
    <x v="0"/>
    <x v="0"/>
    <s v="HOLMSLEYES"/>
    <s v="Houston, TX"/>
    <n v="81704"/>
    <d v="2000-01-01T00:00:00.000"/>
    <n v="2297.449728"/>
    <n v="2199.184128"/>
    <n v="-4.277159965782732"/>
    <n v="61183.58"/>
    <n v="52042.35"/>
    <n v="-14.94065891534951"/>
    <n v="3863"/>
    <n v="3537"/>
    <n v="-8.439037017861764"/>
  </r>
  <r>
    <x v="0"/>
    <x v="0"/>
    <s v="HOOVERES"/>
    <s v="Katy, TX"/>
    <n v="112519"/>
    <d v="2000-01-01T00:00:00.000"/>
    <n v="2817.76608"/>
    <n v="2694.9340799999995"/>
    <n v="-4.359197907585029"/>
    <n v="74353.05"/>
    <n v="65620.17"/>
    <n v="-11.745153695779798"/>
    <n v="4895"/>
    <n v="4905"/>
    <n v="0.20429009193054137"/>
  </r>
  <r>
    <x v="2"/>
    <x v="0"/>
    <s v="HOPPERMS"/>
    <s v="Cypress, TX"/>
    <n v="226178"/>
    <d v="2000-01-01T00:00:00.000"/>
    <n v="7334.8651119999995"/>
    <n v="7629.644852"/>
    <n v="4.0188842671112575"/>
    <n v="180638.21"/>
    <n v="169315.67"/>
    <n v="-6.268075840654089"/>
    <n v="10427"/>
    <n v="9878"/>
    <n v="-5.265176944471085"/>
  </r>
  <r>
    <x v="0"/>
    <x v="0"/>
    <s v="HORNEES"/>
    <s v="Houston, TX"/>
    <n v="87881"/>
    <d v="2000-01-01T00:00:00.000"/>
    <n v="3294.5180160000004"/>
    <n v="3235.558656"/>
    <n v="-1.7896202028236365"/>
    <n v="79958.3"/>
    <n v="71593.55"/>
    <n v="-10.46139049979802"/>
    <n v="4958"/>
    <n v="5001"/>
    <n v="0.8672851956434046"/>
  </r>
  <r>
    <x v="3"/>
    <x v="0"/>
    <s v="ISCA"/>
    <s v="Houston, TX"/>
    <n v="132467"/>
    <d v="2000-01-01T00:00:00.000"/>
    <n v="2093.8147440000002"/>
    <n v="2130.52104"/>
    <n v="1.7530823156721385"/>
    <n v="49138.06"/>
    <n v="44771.25"/>
    <n v="-8.886818079509041"/>
    <n v="2850"/>
    <n v="2831"/>
    <n v="-0.6666666666666667"/>
  </r>
  <r>
    <x v="3"/>
    <x v="0"/>
    <s v="ISCB"/>
    <s v="Houston, TX"/>
    <n v="0"/>
    <d v="2000-01-01T00:00:00.000"/>
    <n v="2150.9247999999993"/>
    <n v="2025.9091199999998"/>
    <n v="-5.812182741116739"/>
    <n v="46705.31"/>
    <n v="40349.96"/>
    <n v="-13.60733929396893"/>
    <n v="2289"/>
    <n v="2302"/>
    <n v="0.5679335954565312"/>
  </r>
  <r>
    <x v="3"/>
    <x v="0"/>
    <s v="ISCC"/>
    <s v="Houston, TX"/>
    <n v="0"/>
    <d v="2000-01-01T00:00:00.000"/>
    <n v="3361.2294399999996"/>
    <n v="3389.07136"/>
    <n v="0.8283254831898769"/>
    <n v="71002.06"/>
    <n v="63560.06"/>
    <n v="-10.481386033024958"/>
    <n v="3397"/>
    <n v="3368"/>
    <n v="-0.8536944362672947"/>
  </r>
  <r>
    <x v="3"/>
    <x v="0"/>
    <s v="ISCC-EXLIGHT"/>
    <s v="Houston, TX"/>
    <n v="0"/>
    <d v="2000-01-01T00:00:00.000"/>
    <n v="24.97584"/>
    <n v="24.97584"/>
    <n v="0"/>
    <n v="1322.23"/>
    <n v="1130.37"/>
    <n v="-14.510334813156563"/>
    <n v="0"/>
    <n v="0"/>
    <n v="0"/>
  </r>
  <r>
    <x v="3"/>
    <x v="0"/>
    <s v="ISCD"/>
    <s v="Houston, TX"/>
    <n v="0"/>
    <d v="2000-01-01T00:00:00.000"/>
    <n v="86.93776"/>
    <n v="93.76176"/>
    <n v="7.849293563579273"/>
    <n v="2920.38"/>
    <n v="2824.22"/>
    <n v="-3.2927221799902755"/>
    <n v="219"/>
    <n v="224"/>
    <n v="2.2831050228310503"/>
  </r>
  <r>
    <x v="3"/>
    <x v="0"/>
    <s v="ISCDATACENTER"/>
    <s v="Houston, TX"/>
    <n v="0"/>
    <d v="2000-01-01T00:00:00.000"/>
    <n v="702.2953719999999"/>
    <n v="757.893912"/>
    <n v="7.916688934125581"/>
    <n v="13117.82"/>
    <n v="12612.88"/>
    <n v="-3.8492676374580532"/>
    <n v="386"/>
    <n v="410"/>
    <n v="6.217616580310882"/>
  </r>
  <r>
    <x v="3"/>
    <x v="0"/>
    <s v="ISCSW"/>
    <s v="Houston, TX"/>
    <n v="0"/>
    <d v="2000-01-01T00:00:00.000"/>
    <n v="183.51442"/>
    <n v="274.76153600000004"/>
    <n v="49.72204146137401"/>
    <n v="4556.06"/>
    <n v="5509.41"/>
    <n v="20.924878074476634"/>
    <n v="253"/>
    <n v="301"/>
    <n v="18.972332015810277"/>
  </r>
  <r>
    <x v="3"/>
    <x v="0"/>
    <s v="ISCW"/>
    <s v="Houston, TX"/>
    <n v="35364"/>
    <d v="2000-01-01T00:00:00.000"/>
    <n v="2034.753024"/>
    <n v="1984.310016"/>
    <n v="-2.4790727623953766"/>
    <n v="49732.94"/>
    <n v="42989.23"/>
    <n v="-13.559845848646791"/>
    <n v="3109"/>
    <n v="2875"/>
    <n v="-7.526535863621743"/>
  </r>
  <r>
    <x v="3"/>
    <x v="0"/>
    <s v="JARVISCENTRALPLANT"/>
    <s v="Cypress, TX"/>
    <n v="12152"/>
    <d v="2000-01-01T00:00:00.000"/>
    <n v="10104.75742"/>
    <n v="9624.559364"/>
    <n v="-4.75219776230907"/>
    <n v="301710.72"/>
    <n v="245349.63"/>
    <n v="-18.68050628098332"/>
    <n v="20734"/>
    <n v="23703"/>
    <n v="14.319475258030288"/>
  </r>
  <r>
    <x v="4"/>
    <x v="0"/>
    <s v="JERSEYVILLAGEHS"/>
    <s v="Houston, TX"/>
    <n v="510425"/>
    <d v="2000-01-01T00:00:00.000"/>
    <n v="16581.064384"/>
    <n v="16243.679000000002"/>
    <n v="-2.034763126096789"/>
    <n v="397054.01"/>
    <n v="340694.22"/>
    <n v="-14.194489560752704"/>
    <n v="21001"/>
    <n v="20352"/>
    <n v="-3.09032903195086"/>
  </r>
  <r>
    <x v="3"/>
    <x v="0"/>
    <s v="JERSEYVILLAGESTADIUM"/>
    <s v="Houston, TX"/>
    <n v="2385"/>
    <d v="2000-01-01T00:00:00.000"/>
    <n v="196.5312"/>
    <n v="186.04953599999996"/>
    <n v="-5.333333333333361"/>
    <n v="13747.35"/>
    <n v="11230.31"/>
    <n v="-18.309274151018197"/>
    <n v="1259"/>
    <n v="1182"/>
    <n v="-6.115965051628276"/>
  </r>
  <r>
    <x v="0"/>
    <x v="0"/>
    <s v="JOWELLES"/>
    <s v="Katy, TX"/>
    <n v="73726"/>
    <d v="2000-01-01T00:00:00.000"/>
    <n v="1908.9730559999996"/>
    <n v="2009.2039680000003"/>
    <n v="5.250514756348691"/>
    <n v="52471.93"/>
    <n v="51231.24"/>
    <n v="-2.364483258000992"/>
    <n v="3532"/>
    <n v="3793"/>
    <n v="7.389580973952435"/>
  </r>
  <r>
    <x v="2"/>
    <x v="0"/>
    <s v="KAHLAMS"/>
    <s v="Houston, TX"/>
    <n v="221601"/>
    <d v="2000-01-01T00:00:00.000"/>
    <n v="7745.976991999999"/>
    <n v="7539.639704"/>
    <n v="-2.6637993917759273"/>
    <n v="204790.34"/>
    <n v="170681.03"/>
    <n v="-16.65572214001891"/>
    <n v="11308"/>
    <n v="11155"/>
    <n v="-1.3530244074991158"/>
  </r>
  <r>
    <x v="0"/>
    <x v="0"/>
    <s v="KEITHES"/>
    <s v="Cypress, TX"/>
    <n v="95518"/>
    <d v="2000-01-01T00:00:00.000"/>
    <n v="2992.515072"/>
    <n v="2934.2108160000002"/>
    <n v="-1.948336252189128"/>
    <n v="75450.01"/>
    <n v="68392.69"/>
    <n v="-9.353636931260844"/>
    <n v="4837"/>
    <n v="4972"/>
    <n v="2.790986148439115"/>
  </r>
  <r>
    <x v="0"/>
    <x v="0"/>
    <s v="KIRKES"/>
    <s v="Houston, TX"/>
    <n v="93897"/>
    <d v="2000-01-01T00:00:00.000"/>
    <n v="3736.0581120000006"/>
    <n v="3716.404992"/>
    <n v="-0.5260389268805983"/>
    <n v="91959.61"/>
    <n v="84146.87"/>
    <n v="-8.495838553469289"/>
    <n v="5766"/>
    <n v="6082"/>
    <n v="5.480402358654179"/>
  </r>
  <r>
    <x v="2"/>
    <x v="0"/>
    <s v="LABAYMS"/>
    <s v="Houston, TX"/>
    <n v="189290"/>
    <d v="2000-01-01T00:00:00.000"/>
    <n v="6417.583032"/>
    <n v="6602.486136"/>
    <n v="2.8811953515524187"/>
    <n v="153642.49"/>
    <n v="135704.61"/>
    <n v="-11.675077642909848"/>
    <n v="7766"/>
    <n v="7080"/>
    <n v="-8.833376255472572"/>
  </r>
  <r>
    <x v="0"/>
    <x v="0"/>
    <s v="LAMKINES"/>
    <s v="Cypress, TX"/>
    <n v="115158"/>
    <d v="2000-01-01T00:00:00.000"/>
    <n v="3318.9206400000003"/>
    <n v="3060.9734399999998"/>
    <n v="-7.772020725388609"/>
    <n v="81938.65"/>
    <n v="69140.87"/>
    <n v="-15.618734260327697"/>
    <n v="5033"/>
    <n v="4585"/>
    <n v="-8.90125173852573"/>
  </r>
  <r>
    <x v="4"/>
    <x v="0"/>
    <s v="LANGHAMCREEKHS"/>
    <s v="Houston, TX"/>
    <n v="535686"/>
    <d v="2000-01-01T00:00:00.000"/>
    <n v="17202.942328"/>
    <n v="14829.039916000002"/>
    <n v="-13.799397607327723"/>
    <n v="394574.18"/>
    <n v="296292.12"/>
    <n v="-24.90838604796695"/>
    <n v="19584"/>
    <n v="16526"/>
    <n v="-15.614787581699348"/>
  </r>
  <r>
    <x v="3"/>
    <x v="0"/>
    <s v="LANGHAMCREEKRETENTIONPOND"/>
    <s v="Houston, TX"/>
    <n v="0"/>
    <d v="2000-01-01T00:00:00.000"/>
    <n v="40.61644800000001"/>
    <n v="14.412288"/>
    <n v="-64.51612903225808"/>
    <n v="4175.4"/>
    <n v="2726.6"/>
    <n v="-34.69847200268238"/>
    <n v="284"/>
    <n v="250"/>
    <n v="-11.971830985915492"/>
  </r>
  <r>
    <x v="0"/>
    <x v="0"/>
    <s v="LEEES"/>
    <s v="Houston, TX"/>
    <n v="95352"/>
    <d v="2000-01-01T00:00:00.000"/>
    <n v="3342.340608"/>
    <n v="4105.536768"/>
    <n v="22.8341826734614"/>
    <n v="85817.97"/>
    <n v="83973.89"/>
    <n v="-2.1488273376776448"/>
    <n v="5753"/>
    <n v="5104"/>
    <n v="-11.281070745697896"/>
  </r>
  <r>
    <x v="0"/>
    <x v="0"/>
    <s v="LIEDERES"/>
    <s v="Houston, TX"/>
    <n v="88406"/>
    <d v="2000-01-01T00:00:00.000"/>
    <n v="2779.933824"/>
    <n v="2895.887232"/>
    <n v="4.1710851891127625"/>
    <n v="71491.23"/>
    <n v="67008.85"/>
    <n v="-6.269831977992266"/>
    <n v="4700"/>
    <n v="4772"/>
    <n v="1.5319148936170215"/>
  </r>
  <r>
    <x v="0"/>
    <x v="0"/>
    <s v="LOWERYES"/>
    <s v="Houston, TX"/>
    <n v="77078"/>
    <d v="2000-01-01T00:00:00.000"/>
    <n v="3060.6458879999996"/>
    <n v="3037.7172479999995"/>
    <n v="-0.7491438356164388"/>
    <n v="81948.15"/>
    <n v="74402.53"/>
    <n v="-9.20779785754773"/>
    <n v="5715"/>
    <n v="5692"/>
    <n v="-0.4024496937882765"/>
  </r>
  <r>
    <x v="3"/>
    <x v="0"/>
    <s v="MAINTENANCEOPER"/>
    <s v="Houston, TX"/>
    <n v="35143"/>
    <d v="2000-01-01T00:00:00.000"/>
    <n v="3339.720192"/>
    <n v="3371.8202880000003"/>
    <n v="0.9611612397018409"/>
    <n v="74378.5"/>
    <n v="65379.52"/>
    <n v="-12.098899547584315"/>
    <n v="3758"/>
    <n v="3727"/>
    <n v="-0.8249068653539117"/>
  </r>
  <r>
    <x v="0"/>
    <x v="0"/>
    <s v="MATZKEMILLSES"/>
    <s v="Houston, TX"/>
    <n v="124682"/>
    <d v="2000-01-01T00:00:00.000"/>
    <n v="3400.6448640000003"/>
    <n v="3232.283136"/>
    <n v="-4.950876517048755"/>
    <n v="75850.52"/>
    <n v="69790.75"/>
    <n v="-7.989094867114952"/>
    <n v="5077"/>
    <n v="4347"/>
    <n v="-14.37857002166634"/>
  </r>
  <r>
    <x v="0"/>
    <x v="0"/>
    <s v="MCFEEES"/>
    <s v="Katy, TX"/>
    <n v="107075"/>
    <d v="2000-01-01T00:00:00.000"/>
    <n v="4045.2535520000006"/>
    <n v="3507.14362"/>
    <n v="-13.302254730953903"/>
    <n v="97498.91"/>
    <n v="84372.82"/>
    <n v="-13.462806917533744"/>
    <n v="4619"/>
    <n v="4609"/>
    <n v="-0.2164970772894566"/>
  </r>
  <r>
    <x v="0"/>
    <x v="0"/>
    <s v="METCALFES"/>
    <s v="Houston, TX"/>
    <n v="88192"/>
    <d v="2000-01-01T00:00:00.000"/>
    <n v="3157.273728"/>
    <n v="2424.212352"/>
    <n v="-23.218176159352634"/>
    <n v="77975.81"/>
    <n v="58856.69"/>
    <n v="-24.519296433086105"/>
    <n v="4643"/>
    <n v="4497"/>
    <n v="-3.1445186301959938"/>
  </r>
  <r>
    <x v="0"/>
    <x v="0"/>
    <s v="MILLSAPES"/>
    <s v="Cypress, TX"/>
    <n v="74252"/>
    <d v="2000-01-01T00:00:00.000"/>
    <n v="2625.001728"/>
    <n v="2657.7569280000002"/>
    <n v="1.2478163214374915"/>
    <n v="71054.43"/>
    <n v="63850.81"/>
    <n v="-10.138171539761842"/>
    <n v="4948"/>
    <n v="4685"/>
    <n v="-5.315278900565885"/>
  </r>
  <r>
    <x v="3"/>
    <x v="0"/>
    <s v="MILLSAPNATURETRAIL"/>
    <s v="Cypress, TX"/>
    <n v="1121"/>
    <d v="2000-01-01T00:00:00.000"/>
    <n v="4.664204000000001"/>
    <n v="7.288031999999999"/>
    <n v="56.25457205559617"/>
    <n v="178.16"/>
    <n v="216.41"/>
    <n v="21.46946564885496"/>
    <n v="21"/>
    <n v="22"/>
    <n v="4.761904761904762"/>
  </r>
  <r>
    <x v="3"/>
    <x v="0"/>
    <s v="MILLSAPROPES"/>
    <s v="Cypress, TX"/>
    <n v="924"/>
    <d v="2000-01-01T00:00:00.000"/>
    <n v="17.824287999999996"/>
    <n v="15.674728"/>
    <n v="-12.059724349157719"/>
    <n v="479.82"/>
    <n v="407.29"/>
    <n v="-15.116085198616148"/>
    <n v="23"/>
    <n v="21"/>
    <n v="-8.695652173913043"/>
  </r>
  <r>
    <x v="0"/>
    <x v="0"/>
    <s v="MOOREES"/>
    <s v="Houston, TX"/>
    <n v="83355"/>
    <d v="2000-01-01T00:00:00.000"/>
    <n v="2666.2732800000003"/>
    <n v="2197.218816"/>
    <n v="-17.592137592137597"/>
    <n v="63670.27"/>
    <n v="51165.86"/>
    <n v="-19.639323030984475"/>
    <n v="2856"/>
    <n v="3420"/>
    <n v="19.747899159663866"/>
  </r>
  <r>
    <x v="0"/>
    <x v="0"/>
    <s v="OWENSES"/>
    <s v="Houston, TX"/>
    <n v="84893"/>
    <d v="2000-01-01T00:00:00.000"/>
    <n v="3230.317824"/>
    <n v="2974.17216"/>
    <n v="-7.92942607990266"/>
    <n v="79130.29"/>
    <n v="72177.93"/>
    <n v="-8.78596552596989"/>
    <n v="5015"/>
    <n v="5590"/>
    <n v="11.465603190428714"/>
  </r>
  <r>
    <x v="0"/>
    <x v="0"/>
    <s v="POPEES"/>
    <s v="Cypress, TX"/>
    <n v="112970"/>
    <d v="2000-01-01T00:00:00.000"/>
    <n v="2910.627072"/>
    <n v="3029.2008959999994"/>
    <n v="4.07382399279764"/>
    <n v="70793.66"/>
    <n v="63940.15"/>
    <n v="-9.680965781399069"/>
    <n v="4230"/>
    <n v="4154"/>
    <n v="-1.7966903073286054"/>
  </r>
  <r>
    <x v="0"/>
    <x v="0"/>
    <s v="POSTES"/>
    <s v="Houston, TX"/>
    <n v="104852"/>
    <d v="2000-01-01T00:00:00.000"/>
    <n v="3364.614144"/>
    <n v="3227.6974079999995"/>
    <n v="-4.06931464174456"/>
    <n v="87306.38"/>
    <n v="75541.31"/>
    <n v="-13.475613122431604"/>
    <n v="5657"/>
    <n v="5356"/>
    <n v="-5.3208414353897835"/>
  </r>
  <r>
    <x v="0"/>
    <x v="0"/>
    <s v="POSTMAES"/>
    <s v="Cypress, TX"/>
    <n v="100456"/>
    <d v="2000-01-01T00:00:00.000"/>
    <n v="3078.3336959999997"/>
    <n v="3181.8401280000003"/>
    <n v="3.362417535645898"/>
    <n v="80184.92"/>
    <n v="71784.53"/>
    <n v="-10.476271598200759"/>
    <n v="5135"/>
    <n v="4887"/>
    <n v="-4.829600778967867"/>
  </r>
  <r>
    <x v="3"/>
    <x v="0"/>
    <s v="PRIDGEONSTADIUM"/>
    <s v="Houston, TX"/>
    <n v="86181"/>
    <d v="2000-01-01T00:00:00.000"/>
    <n v="2062.5949439999995"/>
    <n v="2278.7792640000002"/>
    <n v="10.481181515007174"/>
    <n v="52118.64"/>
    <n v="50324.5"/>
    <n v="-3.442415228025904"/>
    <n v="3000"/>
    <n v="3246"/>
    <n v="8.2"/>
  </r>
  <r>
    <x v="3"/>
    <x v="0"/>
    <s v="RECYCLECENTER"/>
    <s v="Houston, TX"/>
    <n v="0"/>
    <d v="2000-01-01T00:00:00.000"/>
    <n v="43.891968000000006"/>
    <n v="53.39097600000001"/>
    <n v="21.641791044776124"/>
    <n v="1761.5"/>
    <n v="1829.72"/>
    <n v="3.8728356514334377"/>
    <n v="137"/>
    <n v="150"/>
    <n v="9.489051094890511"/>
  </r>
  <r>
    <x v="0"/>
    <x v="0"/>
    <s v="REEDES"/>
    <s v="Houston, TX"/>
    <n v="90012"/>
    <d v="2000-01-01T00:00:00.000"/>
    <n v="3595.2107519999995"/>
    <n v="2714.750976"/>
    <n v="-24.489795918367346"/>
    <n v="86618.39"/>
    <n v="65321.12"/>
    <n v="-24.5874692429633"/>
    <n v="5222"/>
    <n v="4768"/>
    <n v="-8.693986978169283"/>
  </r>
  <r>
    <x v="0"/>
    <x v="0"/>
    <s v="RENNELLES"/>
    <s v="Cypress, TX"/>
    <n v="110549"/>
    <d v="2000-01-01T00:00:00.000"/>
    <n v="1958.341284"/>
    <n v="1956.782"/>
    <n v="-0.07962268950463153"/>
    <n v="42095.94"/>
    <n v="38170.34"/>
    <n v="-9.3253648689161"/>
    <n v="2123"/>
    <n v="2129"/>
    <n v="0.2826189354686764"/>
  </r>
  <r>
    <x v="0"/>
    <x v="0"/>
    <s v="ROBINSONES"/>
    <s v="Katy, TX"/>
    <n v="96996"/>
    <d v="2000-01-01T00:00:00.000"/>
    <n v="3116.9848319999996"/>
    <n v="2919.143424"/>
    <n v="-6.3472047078604446"/>
    <n v="79518.32"/>
    <n v="69904.39"/>
    <n v="-12.090207640201655"/>
    <n v="5079"/>
    <n v="5171"/>
    <n v="1.8113801929513684"/>
  </r>
  <r>
    <x v="0"/>
    <x v="0"/>
    <s v="ROBISONES"/>
    <s v="Cypress, TX"/>
    <n v="92346"/>
    <d v="2000-01-01T00:00:00.000"/>
    <n v="2479.56864"/>
    <n v="2505.7728"/>
    <n v="1.05680317040951"/>
    <n v="54956.11"/>
    <n v="48486.22"/>
    <n v="-11.77283108284047"/>
    <n v="2755"/>
    <n v="2730"/>
    <n v="-0.9074410163339383"/>
  </r>
  <r>
    <x v="2"/>
    <x v="0"/>
    <s v="SALYARDSMS"/>
    <s v="Cypress, TX"/>
    <n v="240580"/>
    <d v="2000-01-01T00:00:00.000"/>
    <n v="7059.9943920000005"/>
    <n v="7132.12066"/>
    <n v="1.021619338419436"/>
    <n v="160436.94"/>
    <n v="149181.05"/>
    <n v="-7.015772053493416"/>
    <n v="10450"/>
    <n v="9901"/>
    <n v="-5.253588516746412"/>
  </r>
  <r>
    <x v="0"/>
    <x v="0"/>
    <s v="SAMPSONES"/>
    <s v="Cypress, TX"/>
    <n v="96096"/>
    <d v="2000-01-01T00:00:00.000"/>
    <n v="3836.289024"/>
    <n v="3374.8501440000005"/>
    <n v="-12.028261612021852"/>
    <n v="96612.69"/>
    <n v="78435.48"/>
    <n v="-18.814515981285687"/>
    <n v="6040"/>
    <n v="5772"/>
    <n v="-4.437086092715232"/>
  </r>
  <r>
    <x v="3"/>
    <x v="0"/>
    <s v="SATELLITECOLDFOODWAREHOUSE"/>
    <s v="Cypress, TX"/>
    <n v="22020"/>
    <d v="2000-01-01T00:00:00.000"/>
    <n v="5261.140224"/>
    <n v="5274.917879999999"/>
    <n v="0.2618758560577621"/>
    <n v="102666.51"/>
    <n v="89165.45"/>
    <n v="-13.150403184056806"/>
    <n v="3827"/>
    <n v="3626"/>
    <n v="-5.252155735563105"/>
  </r>
  <r>
    <x v="0"/>
    <x v="0"/>
    <s v="SHERIDANES"/>
    <s v="Katy, TX"/>
    <n v="91338"/>
    <d v="2000-01-01T00:00:00.000"/>
    <n v="3948.6939519999996"/>
    <n v="3551.973888000001"/>
    <n v="-10.046867871313797"/>
    <n v="96838.34"/>
    <n v="79963.9"/>
    <n v="-17.425370984260987"/>
    <n v="6057"/>
    <n v="5664"/>
    <n v="-6.488360574541852"/>
  </r>
  <r>
    <x v="2"/>
    <x v="0"/>
    <s v="SMITHMS"/>
    <s v="Cypress, TX"/>
    <n v="227015"/>
    <d v="2000-01-01T00:00:00.000"/>
    <n v="5024.64768"/>
    <n v="4991.89248"/>
    <n v="-0.6518904823989492"/>
    <n v="109879.77"/>
    <n v="97629.57"/>
    <n v="-11.148731017547634"/>
    <n v="5509"/>
    <n v="5424"/>
    <n v="-1.5429297513160285"/>
  </r>
  <r>
    <x v="2"/>
    <x v="0"/>
    <s v="SPILLANEMS"/>
    <s v="Cypress, TX"/>
    <n v="235889"/>
    <d v="2000-01-01T00:00:00.000"/>
    <n v="7921.869004"/>
    <n v="6808.533404"/>
    <n v="-14.053951150136948"/>
    <n v="163392.74"/>
    <n v="128770.89"/>
    <n v="-21.189344153234714"/>
    <n v="6620"/>
    <n v="6054"/>
    <n v="-8.549848942598187"/>
  </r>
  <r>
    <x v="0"/>
    <x v="0"/>
    <s v="SWENKEES"/>
    <s v="Cypress, TX"/>
    <n v="107914"/>
    <d v="2000-01-01T00:00:00.000"/>
    <n v="3306.6374399999995"/>
    <n v="3399.9897600000004"/>
    <n v="2.8231797919762496"/>
    <n v="82238.08"/>
    <n v="76214.86"/>
    <n v="-7.324125271407114"/>
    <n v="5032"/>
    <n v="5343"/>
    <n v="6.180445151033386"/>
  </r>
  <r>
    <x v="3"/>
    <x v="0"/>
    <s v="TELGETRANS"/>
    <s v="Cypress, TX"/>
    <n v="19649"/>
    <d v="2000-01-01T00:00:00.000"/>
    <n v="1423.4864000000002"/>
    <n v="1142.3375999999998"/>
    <n v="-19.75071907957815"/>
    <n v="29941.16"/>
    <n v="21976.6"/>
    <n v="-26.600706185064304"/>
    <n v="1418"/>
    <n v="1186"/>
    <n v="-16.361071932299012"/>
  </r>
  <r>
    <x v="2"/>
    <x v="0"/>
    <s v="THORNTONMS"/>
    <s v="Katy, TX"/>
    <n v="194432"/>
    <d v="2000-01-01T00:00:00.000"/>
    <n v="7804.131120000001"/>
    <n v="6809.440995999999"/>
    <n v="-12.745686979180343"/>
    <n v="170565.61"/>
    <n v="137991.7"/>
    <n v="-19.09758362192707"/>
    <n v="7446"/>
    <n v="8146"/>
    <n v="9.4010206822455"/>
  </r>
  <r>
    <x v="0"/>
    <x v="0"/>
    <s v="TIPPSES"/>
    <s v="Houston, TX"/>
    <n v="101727"/>
    <d v="2000-01-01T00:00:00.000"/>
    <n v="3900.758764"/>
    <n v="3730.564792"/>
    <n v="-4.363099137806617"/>
    <n v="91560.4"/>
    <n v="84275.34"/>
    <n v="-7.956562007155932"/>
    <n v="4993"/>
    <n v="4835"/>
    <n v="-3.1644302022831967"/>
  </r>
  <r>
    <x v="2"/>
    <x v="0"/>
    <s v="TRUITTMS"/>
    <s v="Houston, TX"/>
    <n v="208340"/>
    <d v="2000-01-01T00:00:00.000"/>
    <n v="6282.150516"/>
    <n v="5712.8822"/>
    <n v="-9.061679030932668"/>
    <n v="140376.25"/>
    <n v="118766.51"/>
    <n v="-15.394156775095503"/>
    <n v="8062"/>
    <n v="7002"/>
    <n v="-13.148102207888861"/>
  </r>
  <r>
    <x v="0"/>
    <x v="0"/>
    <s v="WALKERES"/>
    <s v="Katy, TX"/>
    <n v="98490"/>
    <d v="2000-01-01T00:00:00.000"/>
    <n v="3750.1292"/>
    <n v="3988.819072"/>
    <n v="6.364843963242646"/>
    <n v="90727.38"/>
    <n v="85520.81"/>
    <n v="-5.738697623583972"/>
    <n v="5108"/>
    <n v="4526"/>
    <n v="-11.39389193422083"/>
  </r>
  <r>
    <x v="0"/>
    <x v="0"/>
    <s v="WARNERES"/>
    <s v="Cypress, TX"/>
    <n v="99987"/>
    <d v="2000-01-01T00:00:00.000"/>
    <n v="2562.470004"/>
    <n v="2247.9859640000004"/>
    <n v="-12.27269156357311"/>
    <n v="55728.9"/>
    <n v="45703.23"/>
    <n v="-17.990073373061374"/>
    <n v="2759"/>
    <n v="2671"/>
    <n v="-3.189561435302646"/>
  </r>
  <r>
    <x v="2"/>
    <x v="0"/>
    <s v="WATKINSMS"/>
    <s v="Houston, TX"/>
    <n v="217165"/>
    <d v="2000-01-01T00:00:00.000"/>
    <n v="6383.875884000001"/>
    <n v="6411.953231999999"/>
    <n v="0.43981663350266714"/>
    <n v="148555.75"/>
    <n v="133568.54"/>
    <n v="-10.088609831662524"/>
    <n v="7552"/>
    <n v="8020"/>
    <n v="6.197033898305085"/>
  </r>
  <r>
    <x v="0"/>
    <x v="0"/>
    <s v="WELLSES"/>
    <s v="Cypress, TX"/>
    <n v="122878"/>
    <d v="2000-01-01T00:00:00.000"/>
    <n v="3458.94912"/>
    <n v="3442.5715200000004"/>
    <n v="-0.47348484848483435"/>
    <n v="88402.46"/>
    <n v="78349.03"/>
    <n v="-11.372341900892803"/>
    <n v="5702"/>
    <n v="5262"/>
    <n v="-7.716590669940372"/>
  </r>
  <r>
    <x v="3"/>
    <x v="0"/>
    <s v="WESTGREENAGSCIENCECENTER"/>
    <s v="Cypress, TX"/>
    <n v="20124"/>
    <d v="2000-01-01T00:00:00.000"/>
    <n v="404.19916800000004"/>
    <n v="349.825536"/>
    <n v="-13.452188006482997"/>
    <n v="8886.45"/>
    <n v="7033.83"/>
    <n v="-20.847695086339314"/>
    <n v="434"/>
    <n v="390"/>
    <n v="-10.138248847926267"/>
  </r>
  <r>
    <x v="3"/>
    <x v="0"/>
    <s v="WESTGREENTRANS"/>
    <s v="Cypress, TX"/>
    <n v="45340"/>
    <d v="2000-01-01T00:00:00.000"/>
    <n v="1802.9826879999998"/>
    <n v="1842.1524479999998"/>
    <n v="2.1724978426415125"/>
    <n v="37079.03"/>
    <n v="34122.65"/>
    <n v="-7.973185922069698"/>
    <n v="1589"/>
    <n v="1744"/>
    <n v="9.754562617998742"/>
  </r>
  <r>
    <x v="0"/>
    <x v="0"/>
    <s v="WILLBERNES"/>
    <s v="Houston, TX"/>
    <n v="89993"/>
    <d v="2000-01-01T00:00:00.000"/>
    <n v="2700.3386880000007"/>
    <n v="2733.748992"/>
    <n v="1.237263464337674"/>
    <n v="66767.25"/>
    <n v="60113.63"/>
    <n v="-9.965394710730186"/>
    <n v="3965"/>
    <n v="3934"/>
    <n v="-0.7818411097099621"/>
  </r>
  <r>
    <x v="0"/>
    <x v="0"/>
    <s v="WILSONES"/>
    <s v="Houston, TX"/>
    <n v="84992"/>
    <d v="2000-01-01T00:00:00.000"/>
    <n v="2825.4635519999997"/>
    <n v="2950.588416"/>
    <n v="4.428472061210293"/>
    <n v="73898.28"/>
    <n v="69315.83"/>
    <n v="-6.201023893925542"/>
    <n v="4995"/>
    <n v="5259"/>
    <n v="5.285285285285286"/>
  </r>
  <r>
    <x v="1"/>
    <x v="0"/>
    <s v="WINDFERNANNEX"/>
    <s v="Houston, TX"/>
    <n v="41975"/>
    <d v="2000-01-01T00:00:00.000"/>
    <n v="2511.668736"/>
    <n v="2469.74208"/>
    <n v="-1.6692749087115197"/>
    <n v="57495.28"/>
    <n v="50413.11"/>
    <n v="-12.31782852435887"/>
    <n v="2952"/>
    <n v="3071"/>
    <n v="4.031165311653116"/>
  </r>
  <r>
    <x v="1"/>
    <x v="0"/>
    <s v="WINDFERNHS"/>
    <s v="Houston, TX"/>
    <n v="50022"/>
    <d v="2000-01-01T00:00:00.000"/>
    <n v="2033.4428159999995"/>
    <n v="1943.0043439999997"/>
    <n v="-4.447554231099652"/>
    <n v="55557.07"/>
    <n v="47721.41"/>
    <n v="-14.103803530315764"/>
    <n v="3925"/>
    <n v="3756"/>
    <n v="-4.305732484076433"/>
  </r>
  <r>
    <x v="0"/>
    <x v="0"/>
    <s v="WOODARDES"/>
    <s v="Cypress, TX"/>
    <n v="115438"/>
    <d v="2000-01-01T00:00:00.000"/>
    <n v="3274.7011200000006"/>
    <n v="3323.8339200000005"/>
    <n v="1.5003750937734335"/>
    <n v="83255.41"/>
    <n v="78771.31"/>
    <n v="-5.38595630001702"/>
    <n v="5745"/>
    <n v="5688"/>
    <n v="-0.9921671018276763"/>
  </r>
  <r>
    <x v="0"/>
    <x v="0"/>
    <s v="YEAGERES"/>
    <s v="Houston, TX"/>
    <n v="81794"/>
    <d v="2000-01-01T00:00:00.000"/>
    <n v="3251.6087039999998"/>
    <n v="3193.6319999999996"/>
    <n v="-1.783016016923543"/>
    <n v="84403.23"/>
    <n v="75335.26"/>
    <n v="-10.743629124146077"/>
    <n v="5452"/>
    <n v="5496"/>
    <n v="0.8070432868672047"/>
  </r>
  <r>
    <x v="0"/>
    <x v="1"/>
    <s v="ADAM-ES"/>
    <s v="Houston, TX"/>
    <n v="109321"/>
    <d v="2000-01-01T00:00:00.000"/>
    <n v="0"/>
    <n v="0"/>
    <n v="0"/>
    <n v="21609.7"/>
    <n v="12293.76"/>
    <n v="-43.109992271988965"/>
    <n v="0"/>
    <n v="0"/>
    <n v="0"/>
  </r>
  <r>
    <x v="1"/>
    <x v="1"/>
    <s v="ALCWEST"/>
    <s v="Katy, TX"/>
    <n v="50839"/>
    <d v="2000-01-01T00:00:00.000"/>
    <n v="0"/>
    <n v="0"/>
    <n v="0"/>
    <n v="5086.75"/>
    <n v="4941.8"/>
    <n v="-2.849560131714749"/>
    <n v="0"/>
    <n v="0"/>
    <n v="0"/>
  </r>
  <r>
    <x v="0"/>
    <x v="1"/>
    <s v="ANDREES"/>
    <s v="Cypress, TX"/>
    <n v="107836"/>
    <d v="2000-01-01T00:00:00.000"/>
    <n v="0"/>
    <n v="0"/>
    <n v="0"/>
    <n v="15518.77"/>
    <n v="33521.58"/>
    <n v="116.00668094185299"/>
    <n v="0"/>
    <n v="0"/>
    <n v="0"/>
  </r>
  <r>
    <x v="2"/>
    <x v="1"/>
    <s v="ANTHONYMS"/>
    <s v="Cypress, TX"/>
    <n v="244123"/>
    <d v="2000-01-01T00:00:00.000"/>
    <n v="0"/>
    <n v="0"/>
    <n v="0"/>
    <n v="49822.76"/>
    <n v="54586.73"/>
    <n v="9.561834791970577"/>
    <n v="0"/>
    <n v="0"/>
    <n v="0"/>
  </r>
  <r>
    <x v="2"/>
    <x v="1"/>
    <s v="ARAGONMS"/>
    <s v="Houston, TX"/>
    <n v="219821"/>
    <d v="2000-01-01T00:00:00.000"/>
    <n v="0"/>
    <n v="0"/>
    <n v="0"/>
    <n v="22767.12"/>
    <n v="28444.25"/>
    <n v="24.93565281862616"/>
    <n v="0"/>
    <n v="0"/>
    <n v="0"/>
  </r>
  <r>
    <x v="0"/>
    <x v="1"/>
    <s v="AULTES"/>
    <s v="Cypress, TX"/>
    <n v="89416"/>
    <d v="2000-01-01T00:00:00.000"/>
    <n v="0"/>
    <n v="0"/>
    <n v="0"/>
    <n v="7726.2"/>
    <n v="14095.35"/>
    <n v="82.435738137765"/>
    <n v="0"/>
    <n v="0"/>
    <n v="0"/>
  </r>
  <r>
    <x v="0"/>
    <x v="1"/>
    <s v="BANEES"/>
    <s v="Houston, TX"/>
    <n v="106804"/>
    <d v="2000-01-01T00:00:00.000"/>
    <n v="0"/>
    <n v="0"/>
    <n v="0"/>
    <n v="20055.75"/>
    <n v="16659.47"/>
    <n v="-16.934195928848336"/>
    <n v="0"/>
    <n v="0"/>
    <n v="0"/>
  </r>
  <r>
    <x v="0"/>
    <x v="1"/>
    <s v="BANGES"/>
    <s v="Houston, TX"/>
    <n v="87777"/>
    <d v="2020-05-01T00:00:00.000"/>
    <n v="0"/>
    <n v="0"/>
    <n v="0"/>
    <n v="22156.81"/>
    <n v="19080.8"/>
    <n v="-13.882910039847793"/>
    <n v="0"/>
    <n v="0"/>
    <n v="0"/>
  </r>
  <r>
    <x v="3"/>
    <x v="1"/>
    <s v="BARKERTRANS"/>
    <s v="Houston, TX"/>
    <n v="22677"/>
    <d v="2000-01-01T00:00:00.000"/>
    <n v="0"/>
    <n v="0"/>
    <n v="0"/>
    <n v="5020.87"/>
    <n v="7803.25"/>
    <n v="55.416292395541014"/>
    <n v="0"/>
    <n v="0"/>
    <n v="0"/>
  </r>
  <r>
    <x v="3"/>
    <x v="1"/>
    <s v="BERRYCENTER"/>
    <s v="Cypress, TX"/>
    <n v="491434"/>
    <d v="2000-01-01T00:00:00.000"/>
    <n v="0"/>
    <n v="0"/>
    <n v="0"/>
    <n v="82055.62"/>
    <n v="72348.17"/>
    <n v="-11.830329232781374"/>
    <n v="0"/>
    <n v="0"/>
    <n v="0"/>
  </r>
  <r>
    <x v="0"/>
    <x v="1"/>
    <s v="BIRKESES"/>
    <s v="Houston, TX"/>
    <n v="106488"/>
    <d v="2000-01-01T00:00:00.000"/>
    <n v="0"/>
    <n v="0"/>
    <n v="0"/>
    <n v="18869.62"/>
    <n v="17257.55"/>
    <n v="-8.543203307750765"/>
    <n v="0"/>
    <n v="0"/>
    <n v="0"/>
  </r>
  <r>
    <x v="0"/>
    <x v="1"/>
    <s v="BLACKES"/>
    <s v="Cypress, TX"/>
    <n v="98920"/>
    <d v="2020-05-01T00:00:00.000"/>
    <n v="0"/>
    <n v="0"/>
    <n v="0"/>
    <n v="26545.04"/>
    <n v="31185.28"/>
    <n v="17.480629149551103"/>
    <n v="0"/>
    <n v="0"/>
    <n v="0"/>
  </r>
  <r>
    <x v="2"/>
    <x v="1"/>
    <s v="BLEYLMS"/>
    <s v="Houston, TX"/>
    <n v="229363"/>
    <d v="2000-01-01T00:00:00.000"/>
    <n v="0"/>
    <n v="0"/>
    <n v="0"/>
    <n v="21455.9"/>
    <n v="21496.48"/>
    <n v="0.18913212682758587"/>
    <n v="0"/>
    <n v="0"/>
    <n v="0"/>
  </r>
  <r>
    <x v="3"/>
    <x v="1"/>
    <s v="BRADLEYPOLICESTATION"/>
    <s v="Cypress, TX"/>
    <n v="19680"/>
    <d v="2020-05-01T00:00:00.000"/>
    <n v="0"/>
    <n v="0"/>
    <n v="0"/>
    <n v="787.95"/>
    <n v="1444.1"/>
    <n v="83.2730503204518"/>
    <n v="0"/>
    <n v="0"/>
    <n v="0"/>
  </r>
  <r>
    <x v="1"/>
    <x v="1"/>
    <s v="BRAUTIGAMCENTER"/>
    <s v="Houston, TX"/>
    <n v="85895"/>
    <d v="2020-05-01T00:00:00.000"/>
    <n v="0"/>
    <n v="0"/>
    <n v="0"/>
    <n v="23218.28"/>
    <n v="24555.13"/>
    <n v="5.75774777459829"/>
    <n v="0"/>
    <n v="0"/>
    <n v="0"/>
  </r>
  <r>
    <x v="4"/>
    <x v="1"/>
    <s v="BRIDGELANDHS"/>
    <s v="Cypress, TX"/>
    <n v="573468"/>
    <d v="2000-01-01T00:00:00.000"/>
    <n v="0"/>
    <n v="0"/>
    <n v="0"/>
    <n v="58393.53"/>
    <n v="86777.75"/>
    <n v="48.60850166105732"/>
    <n v="0"/>
    <n v="0"/>
    <n v="0"/>
  </r>
  <r>
    <x v="2"/>
    <x v="1"/>
    <s v="COOKMS"/>
    <s v="Houston, TX"/>
    <n v="204629"/>
    <d v="2000-01-01T00:00:00.000"/>
    <n v="0"/>
    <n v="0"/>
    <n v="0"/>
    <n v="40866.37"/>
    <n v="48491.56"/>
    <n v="18.65883855111183"/>
    <n v="0"/>
    <n v="0"/>
    <n v="0"/>
  </r>
  <r>
    <x v="0"/>
    <x v="1"/>
    <s v="COPELANDES"/>
    <s v="Houston, TX"/>
    <n v="86318"/>
    <d v="2000-01-01T00:00:00.000"/>
    <n v="0"/>
    <n v="0"/>
    <n v="0"/>
    <n v="18429.42"/>
    <n v="24347.16"/>
    <n v="32.1102888750704"/>
    <n v="0"/>
    <n v="0"/>
    <n v="0"/>
  </r>
  <r>
    <x v="4"/>
    <x v="1"/>
    <s v="CY-CREEKHS"/>
    <s v="Houston, TX"/>
    <n v="525576"/>
    <d v="2000-01-01T00:00:00.000"/>
    <n v="0"/>
    <n v="0"/>
    <n v="0"/>
    <n v="106749.97"/>
    <n v="112751.73"/>
    <n v="5.62225919126722"/>
    <n v="0"/>
    <n v="0"/>
    <n v="0"/>
  </r>
  <r>
    <x v="3"/>
    <x v="1"/>
    <s v="CY-FAIRCOMPLEX"/>
    <s v="Cypress, TX"/>
    <n v="0"/>
    <d v="2000-01-01T00:00:00.000"/>
    <n v="0"/>
    <n v="0"/>
    <n v="0"/>
    <n v="151912.45"/>
    <n v="186567.2"/>
    <n v="22.812317226139136"/>
    <n v="0"/>
    <n v="0"/>
    <n v="0"/>
  </r>
  <r>
    <x v="4"/>
    <x v="1"/>
    <s v="CY-FALLSHS"/>
    <s v="Houston, TX"/>
    <n v="578719"/>
    <d v="2000-01-01T00:00:00.000"/>
    <n v="0"/>
    <n v="0"/>
    <n v="0"/>
    <n v="88321.3"/>
    <n v="79632.25"/>
    <n v="-9.838000572908234"/>
    <n v="0"/>
    <n v="0"/>
    <n v="0"/>
  </r>
  <r>
    <x v="4"/>
    <x v="1"/>
    <s v="CY-LAKESHS"/>
    <s v="Katy, TX"/>
    <n v="520212"/>
    <d v="2000-01-01T00:00:00.000"/>
    <n v="0"/>
    <n v="0"/>
    <n v="0"/>
    <n v="82367.59"/>
    <n v="87024.16"/>
    <n v="5.653400809711684"/>
    <n v="0"/>
    <n v="0"/>
    <n v="0"/>
  </r>
  <r>
    <x v="4"/>
    <x v="1"/>
    <s v="CY-PARKHS"/>
    <s v="Cypress, TX"/>
    <n v="590057"/>
    <d v="2000-01-01T00:00:00.000"/>
    <n v="0"/>
    <n v="0"/>
    <n v="0"/>
    <n v="64034.93"/>
    <n v="70916.34"/>
    <n v="10.74633797522696"/>
    <n v="0"/>
    <n v="0"/>
    <n v="0"/>
  </r>
  <r>
    <x v="4"/>
    <x v="1"/>
    <s v="CY-RANCHHS"/>
    <s v="Cypress, TX"/>
    <n v="530203"/>
    <d v="2000-01-01T00:00:00.000"/>
    <n v="0"/>
    <n v="0"/>
    <n v="0"/>
    <n v="104861.4"/>
    <n v="105142.58"/>
    <n v="0.26814442683389694"/>
    <n v="0"/>
    <n v="0"/>
    <n v="0"/>
  </r>
  <r>
    <x v="4"/>
    <x v="1"/>
    <s v="CY-RIDGEHS"/>
    <s v="Houston, TX"/>
    <n v="497661"/>
    <d v="2000-01-01T00:00:00.000"/>
    <n v="0"/>
    <n v="0"/>
    <n v="0"/>
    <n v="73114.14"/>
    <n v="76738.04"/>
    <n v="4.956496787078396"/>
    <n v="0"/>
    <n v="0"/>
    <n v="0"/>
  </r>
  <r>
    <x v="4"/>
    <x v="1"/>
    <s v="CY-SPRINGSHS"/>
    <s v="Cypress, TX"/>
    <n v="477795"/>
    <d v="2000-01-01T00:00:00.000"/>
    <n v="0"/>
    <n v="0"/>
    <n v="0"/>
    <n v="183407.18"/>
    <n v="218019.94"/>
    <n v="18.872085596648944"/>
    <n v="0"/>
    <n v="0"/>
    <n v="0"/>
  </r>
  <r>
    <x v="4"/>
    <x v="1"/>
    <s v="CY-WOODSHS"/>
    <s v="Cypress, TX"/>
    <n v="535914"/>
    <d v="2000-01-01T00:00:00.000"/>
    <n v="0"/>
    <n v="0"/>
    <n v="0"/>
    <n v="53799.42"/>
    <n v="54711.02"/>
    <n v="1.6944420590407854"/>
    <n v="0"/>
    <n v="0"/>
    <n v="0"/>
  </r>
  <r>
    <x v="0"/>
    <x v="1"/>
    <s v="DANISHES"/>
    <s v="Houston, TX"/>
    <n v="99588"/>
    <d v="2000-01-01T00:00:00.000"/>
    <n v="0"/>
    <n v="0"/>
    <n v="0"/>
    <n v="17214.27"/>
    <n v="18637.25"/>
    <n v="8.266281404904186"/>
    <n v="0"/>
    <n v="0"/>
    <n v="0"/>
  </r>
  <r>
    <x v="2"/>
    <x v="1"/>
    <s v="DEANMS"/>
    <s v="Houston, TX"/>
    <n v="225860"/>
    <d v="2020-05-01T00:00:00.000"/>
    <n v="0"/>
    <n v="0"/>
    <n v="0"/>
    <n v="21004.04"/>
    <n v="37049.67"/>
    <n v="76.39306533409763"/>
    <n v="0"/>
    <n v="0"/>
    <n v="0"/>
  </r>
  <r>
    <x v="0"/>
    <x v="1"/>
    <s v="DURYEAES"/>
    <s v="Katy, TX"/>
    <n v="96423"/>
    <d v="2020-05-01T00:00:00.000"/>
    <n v="0"/>
    <n v="0"/>
    <n v="0"/>
    <n v="23658.08"/>
    <n v="22781.08"/>
    <n v="-3.706978757363235"/>
    <n v="0"/>
    <n v="0"/>
    <n v="0"/>
  </r>
  <r>
    <x v="3"/>
    <x v="1"/>
    <s v="ELC1"/>
    <s v="Houston, TX"/>
    <n v="6832"/>
    <d v="2000-01-01T00:00:00.000"/>
    <n v="0"/>
    <n v="0"/>
    <n v="0"/>
    <n v="1963.77"/>
    <n v="1888.81"/>
    <n v="-3.8171476293048574"/>
    <n v="0"/>
    <n v="0"/>
    <n v="0"/>
  </r>
  <r>
    <x v="3"/>
    <x v="1"/>
    <s v="ELC2"/>
    <s v="Houston, TX"/>
    <n v="4573"/>
    <d v="2000-01-01T00:00:00.000"/>
    <n v="0"/>
    <n v="0"/>
    <n v="0"/>
    <n v="2809.1"/>
    <n v="2472.25"/>
    <n v="-11.99138514114841"/>
    <n v="0"/>
    <n v="0"/>
    <n v="0"/>
  </r>
  <r>
    <x v="3"/>
    <x v="1"/>
    <s v="ELDRIDGETRANS"/>
    <s v="Houston, TX"/>
    <n v="26451"/>
    <d v="2000-01-01T00:00:00.000"/>
    <n v="0"/>
    <n v="0"/>
    <n v="0"/>
    <n v="8856.75"/>
    <n v="9933.2"/>
    <n v="12.154006830948147"/>
    <n v="0"/>
    <n v="0"/>
    <n v="0"/>
  </r>
  <r>
    <x v="0"/>
    <x v="1"/>
    <s v="EMERYES"/>
    <s v="Katy, TX"/>
    <n v="96902"/>
    <d v="2020-05-01T00:00:00.000"/>
    <n v="0"/>
    <n v="0"/>
    <n v="0"/>
    <n v="19043.74"/>
    <n v="47098.9"/>
    <n v="147.31959163483643"/>
    <n v="0"/>
    <n v="0"/>
    <n v="0"/>
  </r>
  <r>
    <x v="0"/>
    <x v="1"/>
    <s v="EMMOTTES"/>
    <s v="Houston, TX"/>
    <n v="77394"/>
    <d v="2020-05-01T00:00:00.000"/>
    <n v="0"/>
    <n v="0"/>
    <n v="0"/>
    <n v="16755.5"/>
    <n v="18302.25"/>
    <n v="9.231297185998628"/>
    <n v="0"/>
    <n v="0"/>
    <n v="0"/>
  </r>
  <r>
    <x v="3"/>
    <x v="1"/>
    <s v="FALCONCOMPLEX"/>
    <s v="Houston, TX"/>
    <n v="0"/>
    <d v="2000-01-01T00:00:00.000"/>
    <n v="0"/>
    <n v="0"/>
    <n v="0"/>
    <n v="179443.7"/>
    <n v="199401.77"/>
    <n v="11.122190414040727"/>
    <n v="0"/>
    <n v="0"/>
    <n v="0"/>
  </r>
  <r>
    <x v="0"/>
    <x v="1"/>
    <s v="FARNEYES"/>
    <s v="Cypress, TX"/>
    <n v="95036"/>
    <d v="2000-01-01T00:00:00.000"/>
    <n v="0"/>
    <n v="0"/>
    <n v="0"/>
    <n v="23234.07"/>
    <n v="20037.52"/>
    <n v="-13.758028619178647"/>
    <n v="0"/>
    <n v="0"/>
    <n v="0"/>
  </r>
  <r>
    <x v="0"/>
    <x v="1"/>
    <s v="FIESTES"/>
    <s v="Houston, TX"/>
    <n v="91621"/>
    <d v="2000-01-01T00:00:00.000"/>
    <n v="0"/>
    <n v="0"/>
    <n v="0"/>
    <n v="24074.86"/>
    <n v="24230.7"/>
    <n v="0.6473142522947174"/>
    <n v="0"/>
    <n v="0"/>
    <n v="0"/>
  </r>
  <r>
    <x v="0"/>
    <x v="1"/>
    <s v="FRANCONEES"/>
    <s v="Houston, TX"/>
    <n v="90518"/>
    <d v="2000-01-01T00:00:00.000"/>
    <n v="0"/>
    <n v="0"/>
    <n v="0"/>
    <n v="10281.8"/>
    <n v="9625.79"/>
    <n v="-6.3803030597755255"/>
    <n v="0"/>
    <n v="0"/>
    <n v="0"/>
  </r>
  <r>
    <x v="0"/>
    <x v="1"/>
    <s v="FRAZIERES"/>
    <s v="Houston, TX"/>
    <n v="85844"/>
    <d v="2000-01-01T00:00:00.000"/>
    <n v="0"/>
    <n v="0"/>
    <n v="0"/>
    <n v="4759.6"/>
    <n v="3804.65"/>
    <n v="-20.063660811832925"/>
    <n v="0"/>
    <n v="0"/>
    <n v="0"/>
  </r>
  <r>
    <x v="0"/>
    <x v="1"/>
    <s v="GLEASONES"/>
    <s v="Houston, TX"/>
    <n v="91424"/>
    <d v="2000-01-01T00:00:00.000"/>
    <n v="0"/>
    <n v="0"/>
    <n v="0"/>
    <n v="14450.72"/>
    <n v="13570"/>
    <n v="-6.094644419101609"/>
    <n v="0"/>
    <n v="0"/>
    <n v="0"/>
  </r>
  <r>
    <x v="2"/>
    <x v="1"/>
    <s v="GOODSONMS"/>
    <s v="Cypress, TX"/>
    <n v="218801"/>
    <d v="2000-01-01T00:00:00.000"/>
    <n v="0"/>
    <n v="0"/>
    <n v="0"/>
    <n v="39240.4"/>
    <n v="45357.36"/>
    <n v="15.58842417508486"/>
    <n v="0"/>
    <n v="0"/>
    <n v="0"/>
  </r>
  <r>
    <x v="0"/>
    <x v="1"/>
    <s v="HAIRGROVEES"/>
    <s v="Houston, TX"/>
    <n v="85052"/>
    <d v="2000-01-01T00:00:00.000"/>
    <n v="0"/>
    <n v="0"/>
    <n v="0"/>
    <n v="20170.38"/>
    <n v="20290.04"/>
    <n v="0.5932461361660019"/>
    <n v="0"/>
    <n v="0"/>
    <n v="0"/>
  </r>
  <r>
    <x v="0"/>
    <x v="1"/>
    <s v="HAMILTONES"/>
    <s v="Cypress, TX"/>
    <n v="88156"/>
    <d v="2020-05-01T00:00:00.000"/>
    <n v="0"/>
    <n v="0"/>
    <n v="0"/>
    <n v="16479.85"/>
    <n v="26388.06"/>
    <n v="60.12318073283434"/>
    <n v="0"/>
    <n v="0"/>
    <n v="0"/>
  </r>
  <r>
    <x v="2"/>
    <x v="1"/>
    <s v="HAMILTONMS"/>
    <s v="Cypress, TX"/>
    <n v="192751"/>
    <d v="2000-01-01T00:00:00.000"/>
    <n v="0"/>
    <n v="0"/>
    <n v="0"/>
    <n v="46393.46"/>
    <n v="43853.07"/>
    <n v="-5.475750245832063"/>
    <n v="0"/>
    <n v="0"/>
    <n v="0"/>
  </r>
  <r>
    <x v="0"/>
    <x v="1"/>
    <s v="HANCOCKES"/>
    <s v="Houston, TX"/>
    <n v="88795"/>
    <d v="2000-01-01T00:00:00.000"/>
    <n v="0"/>
    <n v="0"/>
    <n v="0"/>
    <n v="14624.66"/>
    <n v="15772.21"/>
    <n v="7.846678144996191"/>
    <n v="0"/>
    <n v="0"/>
    <n v="0"/>
  </r>
  <r>
    <x v="0"/>
    <x v="1"/>
    <s v="HEMMENWAYES"/>
    <s v="Katy, TX"/>
    <n v="96483"/>
    <d v="2000-01-01T00:00:00.000"/>
    <n v="0"/>
    <n v="0"/>
    <n v="0"/>
    <n v="15359.97"/>
    <n v="16901.79"/>
    <n v="10.037910230293418"/>
    <n v="0"/>
    <n v="0"/>
    <n v="0"/>
  </r>
  <r>
    <x v="0"/>
    <x v="1"/>
    <s v="HOLBROOKES"/>
    <s v="Houston, TX"/>
    <n v="99937"/>
    <d v="2000-01-01T00:00:00.000"/>
    <n v="0"/>
    <n v="0"/>
    <n v="0"/>
    <n v="29071.34"/>
    <n v="24898.8"/>
    <n v="-14.352761173031583"/>
    <n v="0"/>
    <n v="0"/>
    <n v="0"/>
  </r>
  <r>
    <x v="0"/>
    <x v="1"/>
    <s v="HOLMSLEYES"/>
    <s v="Houston, TX"/>
    <n v="81704"/>
    <d v="2000-01-01T00:00:00.000"/>
    <n v="0"/>
    <n v="0"/>
    <n v="0"/>
    <n v="16645.4"/>
    <n v="21281.14"/>
    <n v="27.849976570103454"/>
    <n v="0"/>
    <n v="0"/>
    <n v="0"/>
  </r>
  <r>
    <x v="0"/>
    <x v="1"/>
    <s v="HOOVERES"/>
    <s v="Katy, TX"/>
    <n v="112519"/>
    <d v="2000-01-01T00:00:00.000"/>
    <n v="0"/>
    <n v="0"/>
    <n v="0"/>
    <n v="15342.7"/>
    <n v="12176.35"/>
    <n v="-20.637501873855317"/>
    <n v="0"/>
    <n v="0"/>
    <n v="0"/>
  </r>
  <r>
    <x v="2"/>
    <x v="1"/>
    <s v="HOPPERMS"/>
    <s v="Cypress, TX"/>
    <n v="226178"/>
    <d v="2000-01-01T00:00:00.000"/>
    <n v="0"/>
    <n v="0"/>
    <n v="0"/>
    <n v="55048.66"/>
    <n v="57014.08"/>
    <n v="3.5703321388749516"/>
    <n v="0"/>
    <n v="0"/>
    <n v="0"/>
  </r>
  <r>
    <x v="0"/>
    <x v="1"/>
    <s v="HORNEES"/>
    <s v="Houston, TX"/>
    <n v="87881"/>
    <d v="2000-01-01T00:00:00.000"/>
    <n v="0"/>
    <n v="0"/>
    <n v="0"/>
    <n v="13558.62"/>
    <n v="14805.06"/>
    <n v="9.19297096607177"/>
    <n v="0"/>
    <n v="0"/>
    <n v="0"/>
  </r>
  <r>
    <x v="3"/>
    <x v="1"/>
    <s v="ISCA"/>
    <s v="Houston, TX"/>
    <n v="132467"/>
    <d v="2000-01-01T00:00:00.000"/>
    <n v="0"/>
    <n v="0"/>
    <n v="0"/>
    <n v="14156.37"/>
    <n v="15246.42"/>
    <n v="7.7000671782384895"/>
    <n v="0"/>
    <n v="0"/>
    <n v="0"/>
  </r>
  <r>
    <x v="3"/>
    <x v="1"/>
    <s v="ISCW"/>
    <s v="Houston, TX"/>
    <n v="35364"/>
    <d v="2000-01-01T00:00:00.000"/>
    <n v="0"/>
    <n v="0"/>
    <n v="0"/>
    <n v="2619.77"/>
    <n v="2466.81"/>
    <n v="-5.838680494852602"/>
    <n v="0"/>
    <n v="0"/>
    <n v="0"/>
  </r>
  <r>
    <x v="3"/>
    <x v="1"/>
    <s v="JARVISCENTRALPLANT"/>
    <s v="Cypress, TX"/>
    <n v="12152"/>
    <d v="2000-01-01T00:00:00.000"/>
    <n v="0"/>
    <n v="0"/>
    <n v="0"/>
    <n v="57843.87"/>
    <n v="104532.28"/>
    <n v="80.71453379588883"/>
    <n v="0"/>
    <n v="0"/>
    <n v="0"/>
  </r>
  <r>
    <x v="4"/>
    <x v="1"/>
    <s v="JERSEYVILLAGEHS"/>
    <s v="Houston, TX"/>
    <n v="513473"/>
    <d v="2020-05-01T00:00:00.000"/>
    <n v="0"/>
    <n v="0"/>
    <n v="0"/>
    <n v="56441.72"/>
    <n v="64990.38"/>
    <n v="15.145994842113247"/>
    <n v="0"/>
    <n v="0"/>
    <n v="0"/>
  </r>
  <r>
    <x v="0"/>
    <x v="1"/>
    <s v="JOWELLES"/>
    <s v="Katy, TX"/>
    <n v="73726"/>
    <d v="2000-01-01T00:00:00.000"/>
    <n v="0"/>
    <n v="0"/>
    <n v="0"/>
    <n v="10020.7"/>
    <n v="8052.95"/>
    <n v="-19.63685171694592"/>
    <n v="0"/>
    <n v="0"/>
    <n v="0"/>
  </r>
  <r>
    <x v="2"/>
    <x v="1"/>
    <s v="KAHLAMS"/>
    <s v="Houston, TX"/>
    <n v="221601"/>
    <d v="2000-01-01T00:00:00.000"/>
    <n v="0"/>
    <n v="0"/>
    <n v="0"/>
    <n v="36797.95"/>
    <n v="37709.22"/>
    <n v="2.4764151263861165"/>
    <n v="0"/>
    <n v="0"/>
    <n v="0"/>
  </r>
  <r>
    <x v="0"/>
    <x v="1"/>
    <s v="KEITHES"/>
    <s v="Cypress, TX"/>
    <n v="95518"/>
    <d v="2000-01-01T00:00:00.000"/>
    <n v="0"/>
    <n v="0"/>
    <n v="0"/>
    <n v="13139.8"/>
    <n v="14048.4"/>
    <n v="6.914869328300279"/>
    <n v="0"/>
    <n v="0"/>
    <n v="0"/>
  </r>
  <r>
    <x v="0"/>
    <x v="1"/>
    <s v="KIRKES"/>
    <s v="Houston, TX"/>
    <n v="93897"/>
    <d v="2000-01-01T00:00:00.000"/>
    <n v="0"/>
    <n v="0"/>
    <n v="0"/>
    <n v="15736.98"/>
    <n v="16334.6"/>
    <n v="3.797552008072705"/>
    <n v="0"/>
    <n v="0"/>
    <n v="0"/>
  </r>
  <r>
    <x v="2"/>
    <x v="1"/>
    <s v="LABAYMS"/>
    <s v="Houston, TX"/>
    <n v="190510"/>
    <d v="2020-05-01T00:00:00.000"/>
    <n v="0"/>
    <n v="0"/>
    <n v="0"/>
    <n v="24573.5"/>
    <n v="32478.4"/>
    <n v="32.16839278084115"/>
    <n v="0"/>
    <n v="0"/>
    <n v="0"/>
  </r>
  <r>
    <x v="4"/>
    <x v="1"/>
    <s v="LANGHAMCREEKHS"/>
    <s v="Houston, TX"/>
    <n v="535686"/>
    <d v="2000-01-01T00:00:00.000"/>
    <n v="0"/>
    <n v="0"/>
    <n v="0"/>
    <n v="44641.36"/>
    <n v="67134.53"/>
    <n v="50.38639055799376"/>
    <n v="0"/>
    <n v="0"/>
    <n v="0"/>
  </r>
  <r>
    <x v="0"/>
    <x v="1"/>
    <s v="LEEES"/>
    <s v="Houston, TX"/>
    <n v="95352"/>
    <d v="2000-01-01T00:00:00.000"/>
    <n v="0"/>
    <n v="0"/>
    <n v="0"/>
    <n v="14718.44"/>
    <n v="17065.6"/>
    <n v="15.947070477577785"/>
    <n v="0"/>
    <n v="0"/>
    <n v="0"/>
  </r>
  <r>
    <x v="0"/>
    <x v="1"/>
    <s v="LIEDERES"/>
    <s v="Houston, TX"/>
    <n v="88406"/>
    <d v="2000-01-01T00:00:00.000"/>
    <n v="0"/>
    <n v="0"/>
    <n v="0"/>
    <n v="14858.32"/>
    <n v="14361.07"/>
    <n v="-3.346609845527624"/>
    <n v="0"/>
    <n v="0"/>
    <n v="0"/>
  </r>
  <r>
    <x v="0"/>
    <x v="1"/>
    <s v="LOWERYES"/>
    <s v="Houston, TX"/>
    <n v="78614"/>
    <d v="2020-05-05T00:00:00.000"/>
    <n v="0"/>
    <n v="0"/>
    <n v="0"/>
    <n v="11496.4"/>
    <n v="11260.81"/>
    <n v="-2.0492502000626285"/>
    <n v="0"/>
    <n v="0"/>
    <n v="0"/>
  </r>
  <r>
    <x v="3"/>
    <x v="1"/>
    <s v="MAINTENANCEOPER"/>
    <s v="Houston, TX"/>
    <n v="36679"/>
    <d v="2020-05-01T00:00:00.000"/>
    <n v="0"/>
    <n v="0"/>
    <n v="0"/>
    <n v="5837.07"/>
    <n v="5886.4"/>
    <n v="0.8451157858309049"/>
    <n v="0"/>
    <n v="0"/>
    <n v="0"/>
  </r>
  <r>
    <x v="0"/>
    <x v="1"/>
    <s v="MATZKEMILLSES"/>
    <s v="Houston, TX"/>
    <n v="124682"/>
    <d v="2000-01-01T00:00:00.000"/>
    <n v="0"/>
    <n v="0"/>
    <n v="0"/>
    <n v="18880.62"/>
    <n v="21247.98"/>
    <n v="12.538571296917157"/>
    <n v="0"/>
    <n v="0"/>
    <n v="0"/>
  </r>
  <r>
    <x v="0"/>
    <x v="1"/>
    <s v="MCFEEES"/>
    <s v="Katy, TX"/>
    <n v="107075"/>
    <d v="2000-01-01T00:00:00.000"/>
    <n v="0"/>
    <n v="0"/>
    <n v="0"/>
    <n v="19727.52"/>
    <n v="20454.78"/>
    <n v="3.6865252195917173"/>
    <n v="0"/>
    <n v="0"/>
    <n v="0"/>
  </r>
  <r>
    <x v="0"/>
    <x v="1"/>
    <s v="METCALFES"/>
    <s v="Houston, TX"/>
    <n v="85120"/>
    <d v="2020-05-05T00:00:00.000"/>
    <n v="0"/>
    <n v="0"/>
    <n v="0"/>
    <n v="29900.95"/>
    <n v="14112.07"/>
    <n v="-52.803941011907646"/>
    <n v="0"/>
    <n v="0"/>
    <n v="0"/>
  </r>
  <r>
    <x v="0"/>
    <x v="1"/>
    <s v="MILLSAPES"/>
    <s v="Cypress, TX"/>
    <n v="74252"/>
    <d v="2000-01-01T00:00:00.000"/>
    <n v="0"/>
    <n v="0"/>
    <n v="0"/>
    <n v="15683.81"/>
    <n v="16683.24"/>
    <n v="6.372367428577622"/>
    <n v="0"/>
    <n v="0"/>
    <n v="0"/>
  </r>
  <r>
    <x v="0"/>
    <x v="1"/>
    <s v="MOOREES"/>
    <s v="Houston, TX"/>
    <n v="83063"/>
    <d v="2020-05-01T00:00:00.000"/>
    <n v="0"/>
    <n v="0"/>
    <n v="0"/>
    <n v="11870.6"/>
    <n v="9886.1"/>
    <n v="-16.717773322325744"/>
    <n v="0"/>
    <n v="0"/>
    <n v="0"/>
  </r>
  <r>
    <x v="0"/>
    <x v="1"/>
    <s v="OWENSES"/>
    <s v="Houston, TX"/>
    <n v="85590"/>
    <d v="2020-05-01T00:00:00.000"/>
    <n v="0"/>
    <n v="0"/>
    <n v="0"/>
    <n v="11979.09"/>
    <n v="10452.6"/>
    <n v="-12.74295459838769"/>
    <n v="0"/>
    <n v="0"/>
    <n v="0"/>
  </r>
  <r>
    <x v="0"/>
    <x v="1"/>
    <s v="POPEES"/>
    <s v="Cypress, TX"/>
    <n v="112970"/>
    <d v="2000-01-01T00:00:00.000"/>
    <n v="0"/>
    <n v="0"/>
    <n v="0"/>
    <n v="13028.4"/>
    <n v="16211.05"/>
    <n v="24.42855607749225"/>
    <n v="0"/>
    <n v="0"/>
    <n v="0"/>
  </r>
  <r>
    <x v="0"/>
    <x v="1"/>
    <s v="POSTES"/>
    <s v="Houston, TX"/>
    <n v="104852"/>
    <d v="2000-01-01T00:00:00.000"/>
    <n v="0"/>
    <n v="0"/>
    <n v="0"/>
    <n v="22487.24"/>
    <n v="23845.75"/>
    <n v="6.0412482812474995"/>
    <n v="0"/>
    <n v="0"/>
    <n v="0"/>
  </r>
  <r>
    <x v="0"/>
    <x v="1"/>
    <s v="POSTMAES"/>
    <s v="Cypress, TX"/>
    <n v="100456"/>
    <d v="2000-01-01T00:00:00.000"/>
    <n v="0"/>
    <n v="0"/>
    <n v="0"/>
    <n v="13805.35"/>
    <n v="17074.66"/>
    <n v="23.681471313657383"/>
    <n v="0"/>
    <n v="0"/>
    <n v="0"/>
  </r>
  <r>
    <x v="0"/>
    <x v="1"/>
    <s v="REEDES"/>
    <s v="Houston, TX"/>
    <n v="90012"/>
    <d v="2000-01-01T00:00:00.000"/>
    <n v="0"/>
    <n v="0"/>
    <n v="0"/>
    <n v="11331.6"/>
    <n v="10010.8"/>
    <n v="-11.655900314165697"/>
    <n v="0"/>
    <n v="0"/>
    <n v="0"/>
  </r>
  <r>
    <x v="0"/>
    <x v="1"/>
    <s v="RENNELLES"/>
    <s v="Cypress, TX"/>
    <n v="110549"/>
    <d v="2000-01-01T00:00:00.000"/>
    <n v="0"/>
    <n v="0"/>
    <n v="0"/>
    <n v="15942.51"/>
    <n v="18244.26"/>
    <n v="14.437814371764546"/>
    <n v="0"/>
    <n v="0"/>
    <n v="0"/>
  </r>
  <r>
    <x v="0"/>
    <x v="1"/>
    <s v="ROBINSONES"/>
    <s v="Katy, TX"/>
    <n v="98532"/>
    <d v="2020-05-05T00:00:00.000"/>
    <n v="0"/>
    <n v="0"/>
    <n v="0"/>
    <n v="12191.7"/>
    <n v="13800.3"/>
    <n v="13.194222298777039"/>
    <n v="0"/>
    <n v="0"/>
    <n v="0"/>
  </r>
  <r>
    <x v="0"/>
    <x v="1"/>
    <s v="ROBISONES"/>
    <s v="Cypress, TX"/>
    <n v="93882"/>
    <d v="2020-05-01T00:00:00.000"/>
    <n v="0"/>
    <n v="0"/>
    <n v="0"/>
    <n v="15055.35"/>
    <n v="16465.9"/>
    <n v="9.36909470719711"/>
    <n v="0"/>
    <n v="0"/>
    <n v="0"/>
  </r>
  <r>
    <x v="2"/>
    <x v="1"/>
    <s v="SALYARDSMS"/>
    <s v="Cypress, TX"/>
    <n v="242116"/>
    <d v="2020-05-01T00:00:00.000"/>
    <n v="0"/>
    <n v="0"/>
    <n v="0"/>
    <n v="26479.2"/>
    <n v="25974.6"/>
    <n v="-1.9056466962748118"/>
    <n v="0"/>
    <n v="0"/>
    <n v="0"/>
  </r>
  <r>
    <x v="0"/>
    <x v="1"/>
    <s v="SAMPSONES"/>
    <s v="Cypress, TX"/>
    <n v="96096"/>
    <d v="2000-01-01T00:00:00.000"/>
    <n v="0"/>
    <n v="0"/>
    <n v="0"/>
    <n v="15344.9"/>
    <n v="16291.8"/>
    <n v="6.170779868229836"/>
    <n v="0"/>
    <n v="0"/>
    <n v="0"/>
  </r>
  <r>
    <x v="3"/>
    <x v="1"/>
    <s v="SATELLITECOLDFOODWAREHOUSE"/>
    <s v="Cypress, TX"/>
    <n v="22020"/>
    <d v="2000-01-01T00:00:00.000"/>
    <n v="0"/>
    <n v="0"/>
    <n v="0"/>
    <n v="934.8"/>
    <n v="1006.96"/>
    <n v="7.719298245614035"/>
    <n v="0"/>
    <n v="0"/>
    <n v="0"/>
  </r>
  <r>
    <x v="0"/>
    <x v="1"/>
    <s v="SHERIDANES"/>
    <s v="Katy, TX"/>
    <n v="91338"/>
    <d v="2000-01-01T00:00:00.000"/>
    <n v="0"/>
    <n v="0"/>
    <n v="0"/>
    <n v="17860.73"/>
    <n v="16229.76"/>
    <n v="-9.13159764466514"/>
    <n v="0"/>
    <n v="0"/>
    <n v="0"/>
  </r>
  <r>
    <x v="2"/>
    <x v="1"/>
    <s v="SMITHMS"/>
    <s v="Cypress, TX"/>
    <n v="230087"/>
    <d v="2020-05-01T00:00:00.000"/>
    <n v="0"/>
    <n v="0"/>
    <n v="0"/>
    <n v="23550.42"/>
    <n v="20159.22"/>
    <n v="-14.39974318929344"/>
    <n v="0"/>
    <n v="0"/>
    <n v="0"/>
  </r>
  <r>
    <x v="2"/>
    <x v="1"/>
    <s v="SPILLANEMS"/>
    <s v="Cypress, TX"/>
    <n v="235889"/>
    <d v="2000-01-01T00:00:00.000"/>
    <n v="0"/>
    <n v="0"/>
    <n v="0"/>
    <n v="18558.58"/>
    <n v="21729.72"/>
    <n v="17.08719093809979"/>
    <n v="0"/>
    <n v="0"/>
    <n v="0"/>
  </r>
  <r>
    <x v="0"/>
    <x v="1"/>
    <s v="SWENKEES"/>
    <s v="Cypress, TX"/>
    <n v="107914"/>
    <d v="2000-01-01T00:00:00.000"/>
    <n v="0"/>
    <n v="0"/>
    <n v="0"/>
    <n v="12571.8"/>
    <n v="14503.05"/>
    <n v="15.361762038848852"/>
    <n v="0"/>
    <n v="0"/>
    <n v="0"/>
  </r>
  <r>
    <x v="2"/>
    <x v="1"/>
    <s v="THORNTONMS"/>
    <s v="Katy, TX"/>
    <n v="207347"/>
    <d v="2020-05-01T00:00:00.000"/>
    <n v="0"/>
    <n v="0"/>
    <n v="0"/>
    <n v="40000.82"/>
    <n v="61733.08"/>
    <n v="54.32953624450699"/>
    <n v="0"/>
    <n v="0"/>
    <n v="0"/>
  </r>
  <r>
    <x v="0"/>
    <x v="1"/>
    <s v="TIPPSES"/>
    <s v="Houston, TX"/>
    <n v="101727"/>
    <d v="2000-01-01T00:00:00.000"/>
    <n v="0"/>
    <n v="0"/>
    <n v="0"/>
    <n v="19726.6"/>
    <n v="19551.09"/>
    <n v="-0.8897123680715379"/>
    <n v="0"/>
    <n v="0"/>
    <n v="0"/>
  </r>
  <r>
    <x v="2"/>
    <x v="1"/>
    <s v="TRUITTMS"/>
    <s v="Houston, TX"/>
    <n v="209274"/>
    <d v="2020-05-01T00:00:00.000"/>
    <n v="0"/>
    <n v="0"/>
    <n v="0"/>
    <n v="31033.44"/>
    <n v="36118.76"/>
    <n v="16.38658170025624"/>
    <n v="0"/>
    <n v="0"/>
    <n v="0"/>
  </r>
  <r>
    <x v="0"/>
    <x v="1"/>
    <s v="WALKERES"/>
    <s v="Katy, TX"/>
    <n v="99857"/>
    <d v="2020-05-01T00:00:00.000"/>
    <n v="0"/>
    <n v="0"/>
    <n v="0"/>
    <n v="13708.12"/>
    <n v="13971.37"/>
    <n v="1.92039462741791"/>
    <n v="0"/>
    <n v="0"/>
    <n v="0"/>
  </r>
  <r>
    <x v="0"/>
    <x v="1"/>
    <s v="WARNERES"/>
    <s v="Cypress, TX"/>
    <n v="101523"/>
    <d v="2020-05-01T00:00:00.000"/>
    <n v="0"/>
    <n v="0"/>
    <n v="0"/>
    <n v="22902.9"/>
    <n v="17013.05"/>
    <n v="-25.716612306738448"/>
    <n v="0"/>
    <n v="0"/>
    <n v="0"/>
  </r>
  <r>
    <x v="2"/>
    <x v="1"/>
    <s v="WATKINSMS"/>
    <s v="Houston, TX"/>
    <n v="217165"/>
    <d v="2000-01-01T00:00:00.000"/>
    <n v="0"/>
    <n v="0"/>
    <n v="0"/>
    <n v="64532.96"/>
    <n v="45149.88"/>
    <n v="-30.03593822443601"/>
    <n v="0"/>
    <n v="0"/>
    <n v="0"/>
  </r>
  <r>
    <x v="0"/>
    <x v="1"/>
    <s v="WELLSES"/>
    <s v="Cypress, TX"/>
    <n v="122878"/>
    <d v="2000-01-01T00:00:00.000"/>
    <n v="0"/>
    <n v="0"/>
    <n v="0"/>
    <n v="16452.57"/>
    <n v="17332.6"/>
    <n v="5.348890781197102"/>
    <n v="0"/>
    <n v="0"/>
    <n v="0"/>
  </r>
  <r>
    <x v="3"/>
    <x v="1"/>
    <s v="WESTGREENAGSCIENCECENTER"/>
    <s v="Cypress, TX"/>
    <n v="20124"/>
    <d v="2000-01-01T00:00:00.000"/>
    <n v="0"/>
    <n v="0"/>
    <n v="0"/>
    <n v="3135.34"/>
    <n v="1789.7"/>
    <n v="-42.91847136195756"/>
    <n v="0"/>
    <n v="0"/>
    <n v="0"/>
  </r>
  <r>
    <x v="3"/>
    <x v="1"/>
    <s v="WESTGREENTRANS"/>
    <s v="Cypress, TX"/>
    <n v="45340"/>
    <d v="2000-01-01T00:00:00.000"/>
    <n v="0"/>
    <n v="0"/>
    <n v="0"/>
    <n v="5036.18"/>
    <n v="5440.59"/>
    <n v="8.030094238093158"/>
    <n v="0"/>
    <n v="0"/>
    <n v="0"/>
  </r>
  <r>
    <x v="0"/>
    <x v="1"/>
    <s v="WILLBERNES"/>
    <s v="Houston, TX"/>
    <n v="89993"/>
    <d v="2000-01-01T00:00:00.000"/>
    <n v="0"/>
    <n v="0"/>
    <n v="0"/>
    <n v="8847.32"/>
    <n v="9175.36"/>
    <n v="3.7077894774914886"/>
    <n v="0"/>
    <n v="0"/>
    <n v="0"/>
  </r>
  <r>
    <x v="0"/>
    <x v="1"/>
    <s v="WILSONES"/>
    <s v="Houston, TX"/>
    <n v="84992"/>
    <d v="2000-01-01T00:00:00.000"/>
    <n v="0"/>
    <n v="0"/>
    <n v="0"/>
    <n v="14521.3"/>
    <n v="10379.75"/>
    <n v="-28.520518135428645"/>
    <n v="0"/>
    <n v="0"/>
    <n v="0"/>
  </r>
  <r>
    <x v="0"/>
    <x v="1"/>
    <s v="WOODARDES"/>
    <s v="Cypress, TX"/>
    <n v="115438"/>
    <d v="2000-01-01T00:00:00.000"/>
    <n v="0"/>
    <n v="0"/>
    <n v="0"/>
    <n v="14138.87"/>
    <n v="15498.23"/>
    <n v="9.61434683252622"/>
    <n v="0"/>
    <n v="0"/>
    <n v="0"/>
  </r>
  <r>
    <x v="0"/>
    <x v="1"/>
    <s v="YEAGERES"/>
    <s v="Houston, TX"/>
    <n v="81794"/>
    <d v="2000-01-01T00:00:00.000"/>
    <n v="0"/>
    <n v="0"/>
    <n v="0"/>
    <n v="17673.01"/>
    <n v="14714.74"/>
    <n v="-16.73891431057867"/>
    <n v="0"/>
    <n v="0"/>
    <n v="0"/>
  </r>
  <r>
    <x v="1"/>
    <x v="2"/>
    <s v="ALCWEST"/>
    <s v="Katy, TX"/>
    <n v="50839"/>
    <d v="2000-01-01T00:00:00.000"/>
    <n v="0"/>
    <n v="0"/>
    <n v="0"/>
    <n v="511.7"/>
    <n v="536.1"/>
    <n v="4.768418995505179"/>
    <n v="0"/>
    <n v="0"/>
    <n v="0"/>
  </r>
  <r>
    <x v="0"/>
    <x v="2"/>
    <s v="ANDREES"/>
    <s v="Cypress, TX"/>
    <n v="107836"/>
    <d v="2000-01-01T00:00:00.000"/>
    <n v="0"/>
    <n v="0"/>
    <n v="0"/>
    <n v="268.56"/>
    <n v="2250.14"/>
    <n v="737.8537384569556"/>
    <n v="0"/>
    <n v="0"/>
    <n v="0"/>
  </r>
  <r>
    <x v="2"/>
    <x v="2"/>
    <s v="ANTHONYMS"/>
    <s v="Cypress, TX"/>
    <n v="244123"/>
    <d v="2000-01-01T00:00:00.000"/>
    <n v="0"/>
    <n v="0"/>
    <n v="0"/>
    <n v="15808"/>
    <n v="30317.1"/>
    <n v="91.78327429149799"/>
    <n v="0"/>
    <n v="0"/>
    <n v="0"/>
  </r>
  <r>
    <x v="2"/>
    <x v="2"/>
    <s v="ARAGONMS"/>
    <s v="Houston, TX"/>
    <n v="219821"/>
    <d v="2000-01-01T00:00:00.000"/>
    <n v="0"/>
    <n v="0"/>
    <n v="0"/>
    <n v="13666.94"/>
    <n v="2398.43"/>
    <n v="-82.4508631778584"/>
    <n v="0"/>
    <n v="0"/>
    <n v="0"/>
  </r>
  <r>
    <x v="3"/>
    <x v="2"/>
    <s v="BERRYCENTER"/>
    <s v="Cypress, TX"/>
    <n v="491434"/>
    <d v="2000-01-01T00:00:00.000"/>
    <n v="0"/>
    <n v="0"/>
    <n v="0"/>
    <n v="29560"/>
    <n v="35423.28"/>
    <n v="19.83518267929635"/>
    <n v="0"/>
    <n v="0"/>
    <n v="0"/>
  </r>
  <r>
    <x v="0"/>
    <x v="2"/>
    <s v="BIRKESES"/>
    <s v="Houston, TX"/>
    <n v="106488"/>
    <d v="2000-01-01T00:00:00.000"/>
    <n v="0"/>
    <n v="0"/>
    <n v="0"/>
    <n v="1821.28"/>
    <n v="410.72"/>
    <n v="-77.44882719845384"/>
    <n v="0"/>
    <n v="0"/>
    <n v="0"/>
  </r>
  <r>
    <x v="0"/>
    <x v="2"/>
    <s v="BLACKES"/>
    <s v="Cypress, TX"/>
    <n v="97384"/>
    <d v="2000-01-01T00:00:00.000"/>
    <n v="0"/>
    <n v="0"/>
    <n v="0"/>
    <n v="5169.04"/>
    <n v="730.68"/>
    <n v="-85.8642997539195"/>
    <n v="0"/>
    <n v="0"/>
    <n v="0"/>
  </r>
  <r>
    <x v="3"/>
    <x v="2"/>
    <s v="BRADLEYPOLICESTATION"/>
    <s v="Cypress, TX"/>
    <n v="18144"/>
    <d v="2000-01-01T00:00:00.000"/>
    <n v="0"/>
    <n v="0"/>
    <n v="0"/>
    <n v="381.05"/>
    <n v="659.9"/>
    <n v="73.17937278572366"/>
    <n v="0"/>
    <n v="0"/>
    <n v="0"/>
  </r>
  <r>
    <x v="4"/>
    <x v="2"/>
    <s v="BRIDGELANDHS"/>
    <s v="Cypress, TX"/>
    <n v="573468"/>
    <d v="2000-01-01T00:00:00.000"/>
    <n v="0"/>
    <n v="0"/>
    <n v="0"/>
    <n v="63729.64"/>
    <n v="81125.45"/>
    <n v="27.296262775060395"/>
    <n v="0"/>
    <n v="0"/>
    <n v="0"/>
  </r>
  <r>
    <x v="2"/>
    <x v="2"/>
    <s v="COOKMS"/>
    <s v="Houston, TX"/>
    <n v="204629"/>
    <d v="2000-01-01T00:00:00.000"/>
    <n v="0"/>
    <n v="0"/>
    <n v="0"/>
    <n v="6424.86"/>
    <n v="4282.51"/>
    <n v="-33.34469544861678"/>
    <n v="0"/>
    <n v="0"/>
    <n v="0"/>
  </r>
  <r>
    <x v="4"/>
    <x v="2"/>
    <s v="CY-FALLSHS"/>
    <s v="Houston, TX"/>
    <n v="578719"/>
    <d v="2000-01-01T00:00:00.000"/>
    <n v="0"/>
    <n v="0"/>
    <n v="0"/>
    <n v="1621.9"/>
    <n v="6666.39"/>
    <n v="311.02349096738396"/>
    <n v="0"/>
    <n v="0"/>
    <n v="0"/>
  </r>
  <r>
    <x v="4"/>
    <x v="2"/>
    <s v="CY-LAKESHS"/>
    <s v="Katy, TX"/>
    <n v="520212"/>
    <d v="2000-01-01T00:00:00.000"/>
    <n v="0"/>
    <n v="0"/>
    <n v="0"/>
    <n v="40928.13"/>
    <n v="43179.14"/>
    <n v="5.49990923113272"/>
    <n v="0"/>
    <n v="0"/>
    <n v="0"/>
  </r>
  <r>
    <x v="4"/>
    <x v="2"/>
    <s v="CY-PARKHS"/>
    <s v="Cypress, TX"/>
    <n v="590057"/>
    <d v="2000-01-01T00:00:00.000"/>
    <n v="0"/>
    <n v="0"/>
    <n v="0"/>
    <n v="48963.86"/>
    <n v="54123.79"/>
    <n v="10.538241878806122"/>
    <n v="0"/>
    <n v="0"/>
    <n v="0"/>
  </r>
  <r>
    <x v="4"/>
    <x v="2"/>
    <s v="CY-RANCHHS"/>
    <s v="Cypress, TX"/>
    <n v="530203"/>
    <d v="2000-01-01T00:00:00.000"/>
    <n v="0"/>
    <n v="0"/>
    <n v="0"/>
    <n v="45959.53"/>
    <n v="49972.65"/>
    <n v="8.731856048136262"/>
    <n v="0"/>
    <n v="0"/>
    <n v="0"/>
  </r>
  <r>
    <x v="4"/>
    <x v="2"/>
    <s v="CY-RIDGEHS"/>
    <s v="Houston, TX"/>
    <n v="497661"/>
    <d v="2000-01-01T00:00:00.000"/>
    <n v="0"/>
    <n v="0"/>
    <n v="0"/>
    <n v="30497.13"/>
    <n v="23457.8"/>
    <n v="-23.081942464749964"/>
    <n v="0"/>
    <n v="0"/>
    <n v="0"/>
  </r>
  <r>
    <x v="4"/>
    <x v="2"/>
    <s v="CY-SPRINGSHS"/>
    <s v="Cypress, TX"/>
    <n v="477795"/>
    <d v="2000-01-01T00:00:00.000"/>
    <n v="0"/>
    <n v="0"/>
    <n v="0"/>
    <n v="26599.72"/>
    <n v="38644.7"/>
    <n v="45.28235635563081"/>
    <n v="0"/>
    <n v="0"/>
    <n v="0"/>
  </r>
  <r>
    <x v="4"/>
    <x v="2"/>
    <s v="CY-WOODSHS"/>
    <s v="Cypress, TX"/>
    <n v="535914"/>
    <d v="2000-01-01T00:00:00.000"/>
    <n v="0"/>
    <n v="0"/>
    <n v="0"/>
    <n v="67044.02"/>
    <n v="67694.82"/>
    <n v="0.9707055155702179"/>
    <n v="0"/>
    <n v="0"/>
    <n v="0"/>
  </r>
  <r>
    <x v="0"/>
    <x v="2"/>
    <s v="DANISHES"/>
    <s v="Houston, TX"/>
    <n v="99588"/>
    <d v="2000-01-01T00:00:00.000"/>
    <n v="0"/>
    <n v="0"/>
    <n v="0"/>
    <n v="434.16"/>
    <n v="434.16"/>
    <n v="0"/>
    <n v="0"/>
    <n v="0"/>
    <n v="0"/>
  </r>
  <r>
    <x v="2"/>
    <x v="2"/>
    <s v="DEANMS"/>
    <s v="Houston, TX"/>
    <n v="213572"/>
    <d v="2000-01-01T00:00:00.000"/>
    <n v="0"/>
    <n v="0"/>
    <n v="0"/>
    <n v="16439.54"/>
    <n v="11904.49"/>
    <n v="-27.586234164702905"/>
    <n v="0"/>
    <n v="0"/>
    <n v="0"/>
  </r>
  <r>
    <x v="0"/>
    <x v="2"/>
    <s v="DURYEAES"/>
    <s v="Katy, TX"/>
    <n v="97959"/>
    <d v="2000-01-01T00:00:00.000"/>
    <n v="0"/>
    <n v="0"/>
    <n v="0"/>
    <n v="4492.8"/>
    <n v="2785.2"/>
    <n v="-38.00747863247863"/>
    <n v="0"/>
    <n v="0"/>
    <n v="0"/>
  </r>
  <r>
    <x v="3"/>
    <x v="2"/>
    <s v="ELDRIDGETRANS"/>
    <s v="Houston, TX"/>
    <n v="26451"/>
    <d v="2000-01-01T00:00:00.000"/>
    <n v="0"/>
    <n v="0"/>
    <n v="0"/>
    <n v="4006.3"/>
    <n v="473.9"/>
    <n v="-88.17113046951052"/>
    <n v="0"/>
    <n v="0"/>
    <n v="0"/>
  </r>
  <r>
    <x v="0"/>
    <x v="2"/>
    <s v="EMERYES"/>
    <s v="Katy, TX"/>
    <n v="95366"/>
    <d v="2000-01-01T00:00:00.000"/>
    <n v="0"/>
    <n v="0"/>
    <n v="0"/>
    <n v="2723.67"/>
    <n v="660"/>
    <n v="-75.7679895141482"/>
    <n v="0"/>
    <n v="0"/>
    <n v="0"/>
  </r>
  <r>
    <x v="0"/>
    <x v="2"/>
    <s v="FARNEYES"/>
    <s v="Cypress, TX"/>
    <n v="95036"/>
    <d v="2000-01-01T00:00:00.000"/>
    <n v="0"/>
    <n v="0"/>
    <n v="0"/>
    <n v="4379.35"/>
    <n v="2901.92"/>
    <n v="-33.73628506513524"/>
    <n v="0"/>
    <n v="0"/>
    <n v="0"/>
  </r>
  <r>
    <x v="0"/>
    <x v="2"/>
    <s v="GLEASONES"/>
    <s v="Houston, TX"/>
    <n v="91424"/>
    <d v="2000-01-01T00:00:00.000"/>
    <n v="0"/>
    <n v="0"/>
    <n v="0"/>
    <n v="1519.7"/>
    <n v="180.04"/>
    <n v="-88.15292491939199"/>
    <n v="0"/>
    <n v="0"/>
    <n v="0"/>
  </r>
  <r>
    <x v="2"/>
    <x v="2"/>
    <s v="GOODSONMS"/>
    <s v="Cypress, TX"/>
    <n v="218801"/>
    <d v="2000-01-01T00:00:00.000"/>
    <n v="0"/>
    <n v="0"/>
    <n v="0"/>
    <n v="20587.47"/>
    <n v="19778.84"/>
    <n v="-3.9277774296695998"/>
    <n v="0"/>
    <n v="0"/>
    <n v="0"/>
  </r>
  <r>
    <x v="2"/>
    <x v="2"/>
    <s v="HAMILTONMS"/>
    <s v="Cypress, TX"/>
    <n v="192751"/>
    <d v="2000-01-01T00:00:00.000"/>
    <n v="0"/>
    <m/>
    <n v="0"/>
    <n v="0"/>
    <n v="34194.78"/>
    <n v="0"/>
    <n v="0"/>
    <m/>
    <n v="0"/>
  </r>
  <r>
    <x v="0"/>
    <x v="2"/>
    <s v="HEMMENWAYES"/>
    <s v="Katy, TX"/>
    <n v="96483"/>
    <d v="2000-01-01T00:00:00.000"/>
    <n v="0"/>
    <n v="0"/>
    <n v="0"/>
    <n v="1253.53"/>
    <n v="2555.25"/>
    <n v="103.84434357374774"/>
    <n v="0"/>
    <n v="0"/>
    <n v="0"/>
  </r>
  <r>
    <x v="0"/>
    <x v="2"/>
    <s v="HOOVERES"/>
    <s v="Katy, TX"/>
    <n v="112519"/>
    <d v="2000-01-01T00:00:00.000"/>
    <n v="0"/>
    <n v="0"/>
    <n v="0"/>
    <n v="15229.9"/>
    <n v="9749"/>
    <n v="-35.98776091766853"/>
    <n v="0"/>
    <n v="0"/>
    <n v="0"/>
  </r>
  <r>
    <x v="2"/>
    <x v="2"/>
    <s v="HOPPERMS"/>
    <s v="Cypress, TX"/>
    <n v="226178"/>
    <d v="2000-01-01T00:00:00.000"/>
    <n v="0"/>
    <n v="0"/>
    <n v="0"/>
    <n v="12963.99"/>
    <n v="16285.6"/>
    <n v="25.621818591344176"/>
    <n v="0"/>
    <n v="0"/>
    <n v="0"/>
  </r>
  <r>
    <x v="3"/>
    <x v="2"/>
    <s v="ISCW"/>
    <s v="Houston, TX"/>
    <n v="35364"/>
    <d v="2000-01-01T00:00:00.000"/>
    <n v="0"/>
    <n v="0"/>
    <n v="0"/>
    <n v="909.25"/>
    <n v="862.37"/>
    <n v="-5.155897717899368"/>
    <n v="0"/>
    <n v="0"/>
    <n v="0"/>
  </r>
  <r>
    <x v="3"/>
    <x v="2"/>
    <s v="JERSEYVILLAGESTADIUM"/>
    <s v="Houston, TX"/>
    <n v="2385"/>
    <d v="2000-01-01T00:00:00.000"/>
    <n v="0"/>
    <n v="0"/>
    <n v="0"/>
    <n v="31598.48"/>
    <n v="18228.52"/>
    <n v="-42.312035262455666"/>
    <n v="0"/>
    <n v="0"/>
    <n v="0"/>
  </r>
  <r>
    <x v="0"/>
    <x v="2"/>
    <s v="JOWELLES"/>
    <s v="Katy, TX"/>
    <n v="73726"/>
    <d v="2000-01-01T00:00:00.000"/>
    <n v="0"/>
    <n v="0"/>
    <n v="0"/>
    <n v="14484.1"/>
    <n v="10404.65"/>
    <n v="-28.16502233483613"/>
    <n v="0"/>
    <n v="0"/>
    <n v="0"/>
  </r>
  <r>
    <x v="2"/>
    <x v="2"/>
    <s v="KAHLAMS"/>
    <s v="Houston, TX"/>
    <n v="221601"/>
    <d v="2000-01-01T00:00:00.000"/>
    <n v="0"/>
    <n v="0"/>
    <n v="0"/>
    <n v="12002.28"/>
    <n v="20531.8"/>
    <n v="71.0658308254765"/>
    <n v="0"/>
    <n v="0"/>
    <n v="0"/>
  </r>
  <r>
    <x v="0"/>
    <x v="2"/>
    <s v="KEITHES"/>
    <s v="Cypress, TX"/>
    <n v="95518"/>
    <d v="2000-01-01T00:00:00.000"/>
    <n v="0"/>
    <n v="0"/>
    <n v="0"/>
    <n v="2286.15"/>
    <n v="3712.8"/>
    <n v="62.404041729545305"/>
    <n v="0"/>
    <n v="0"/>
    <n v="0"/>
  </r>
  <r>
    <x v="0"/>
    <x v="2"/>
    <s v="KIRKES"/>
    <s v="Houston, TX"/>
    <n v="93897"/>
    <d v="2000-01-01T00:00:00.000"/>
    <n v="0"/>
    <n v="0"/>
    <n v="0"/>
    <n v="885.12"/>
    <n v="767.35"/>
    <n v="-13.305540491684745"/>
    <n v="0"/>
    <n v="0"/>
    <n v="0"/>
  </r>
  <r>
    <x v="4"/>
    <x v="2"/>
    <s v="LANGHAMCREEKHS"/>
    <s v="Houston, TX"/>
    <n v="535686"/>
    <d v="2000-01-01T00:00:00.000"/>
    <n v="0"/>
    <n v="0"/>
    <n v="0"/>
    <n v="31164.85"/>
    <n v="38226.63"/>
    <n v="22.65943843785547"/>
    <n v="0"/>
    <n v="0"/>
    <n v="0"/>
  </r>
  <r>
    <x v="0"/>
    <x v="2"/>
    <s v="LEEES"/>
    <s v="Houston, TX"/>
    <n v="95352"/>
    <d v="2000-01-01T00:00:00.000"/>
    <n v="0"/>
    <n v="0"/>
    <n v="0"/>
    <n v="12713.24"/>
    <n v="7017.64"/>
    <n v="-44.80053865104411"/>
    <n v="0"/>
    <n v="0"/>
    <n v="0"/>
  </r>
  <r>
    <x v="0"/>
    <x v="2"/>
    <s v="LOWERYES"/>
    <s v="Houston, TX"/>
    <n v="78614"/>
    <d v="2020-05-05T00:00:00.000"/>
    <n v="0"/>
    <n v="0"/>
    <n v="0"/>
    <n v="170.23"/>
    <n v="3041.5"/>
    <n v="1686.7003465899077"/>
    <n v="0"/>
    <n v="0"/>
    <n v="0"/>
  </r>
  <r>
    <x v="0"/>
    <x v="2"/>
    <s v="MATZKEMILLSES"/>
    <s v="Houston, TX"/>
    <n v="124682"/>
    <d v="2000-01-01T00:00:00.000"/>
    <n v="0"/>
    <n v="0"/>
    <n v="0"/>
    <n v="3774.24"/>
    <n v="2370.96"/>
    <n v="-37.1804654711942"/>
    <n v="0"/>
    <n v="0"/>
    <n v="0"/>
  </r>
  <r>
    <x v="0"/>
    <x v="2"/>
    <s v="MCFEEES"/>
    <s v="Katy, TX"/>
    <n v="107075"/>
    <d v="2000-01-01T00:00:00.000"/>
    <n v="0"/>
    <n v="0"/>
    <n v="0"/>
    <n v="5404.5"/>
    <n v="6923.5"/>
    <n v="28.106207789804795"/>
    <n v="0"/>
    <n v="0"/>
    <n v="0"/>
  </r>
  <r>
    <x v="0"/>
    <x v="2"/>
    <s v="POPEES"/>
    <s v="Cypress, TX"/>
    <n v="112970"/>
    <d v="2000-01-01T00:00:00.000"/>
    <n v="0"/>
    <n v="0"/>
    <n v="0"/>
    <n v="3052.2"/>
    <n v="6976.35"/>
    <n v="128.56791822292118"/>
    <n v="0"/>
    <n v="0"/>
    <n v="0"/>
  </r>
  <r>
    <x v="0"/>
    <x v="2"/>
    <s v="POSTMAES"/>
    <s v="Cypress, TX"/>
    <n v="100456"/>
    <d v="2000-01-01T00:00:00.000"/>
    <n v="0"/>
    <n v="0"/>
    <n v="0"/>
    <n v="2819.96"/>
    <n v="2957.75"/>
    <n v="4.886239521127959"/>
    <n v="0"/>
    <n v="0"/>
    <n v="0"/>
  </r>
  <r>
    <x v="0"/>
    <x v="2"/>
    <s v="RENNELLES"/>
    <s v="Cypress, TX"/>
    <n v="110549"/>
    <d v="2000-01-01T00:00:00.000"/>
    <n v="0"/>
    <n v="0"/>
    <n v="0"/>
    <n v="17228.65"/>
    <n v="11811.74"/>
    <n v="-31.441291105222987"/>
    <n v="0"/>
    <n v="0"/>
    <n v="0"/>
  </r>
  <r>
    <x v="0"/>
    <x v="2"/>
    <s v="ROBINSONES"/>
    <s v="Katy, TX"/>
    <n v="98532"/>
    <d v="2020-05-05T00:00:00.000"/>
    <n v="0"/>
    <n v="0"/>
    <n v="0"/>
    <n v="3180.69"/>
    <n v="6987.25"/>
    <n v="119.67717696474665"/>
    <n v="0"/>
    <n v="0"/>
    <n v="0"/>
  </r>
  <r>
    <x v="0"/>
    <x v="2"/>
    <s v="ROBISONES"/>
    <s v="Cypress, TX"/>
    <n v="93882"/>
    <d v="2020-05-01T00:00:00.000"/>
    <n v="0"/>
    <n v="0"/>
    <n v="0"/>
    <n v="5217.79"/>
    <n v="903.92"/>
    <n v="-82.67619049444305"/>
    <n v="0"/>
    <n v="0"/>
    <n v="0"/>
  </r>
  <r>
    <x v="2"/>
    <x v="2"/>
    <s v="SALYARDSMS"/>
    <s v="Cypress, TX"/>
    <n v="242116"/>
    <d v="2020-05-01T00:00:00.000"/>
    <n v="0"/>
    <n v="0"/>
    <n v="0"/>
    <n v="7819.7"/>
    <n v="6211.05"/>
    <n v="-20.57176106500249"/>
    <n v="0"/>
    <n v="0"/>
    <n v="0"/>
  </r>
  <r>
    <x v="0"/>
    <x v="2"/>
    <s v="SAMPSONES"/>
    <s v="Cypress, TX"/>
    <n v="96096"/>
    <d v="2000-01-01T00:00:00.000"/>
    <n v="0"/>
    <n v="0"/>
    <n v="0"/>
    <n v="1102.68"/>
    <n v="454.45"/>
    <n v="-58.78677404142634"/>
    <n v="0"/>
    <n v="0"/>
    <n v="0"/>
  </r>
  <r>
    <x v="3"/>
    <x v="2"/>
    <s v="SATELLITECOLDFOODWAREHOUSE"/>
    <s v="Cypress, TX"/>
    <n v="22020"/>
    <d v="2000-01-01T00:00:00.000"/>
    <n v="0"/>
    <n v="0"/>
    <n v="0"/>
    <n v="1647.4"/>
    <n v="2264.88"/>
    <n v="37.482092995022455"/>
    <n v="0"/>
    <n v="0"/>
    <n v="0"/>
  </r>
  <r>
    <x v="2"/>
    <x v="2"/>
    <s v="SMITHMS"/>
    <s v="Cypress, TX"/>
    <n v="230087"/>
    <d v="2020-05-01T00:00:00.000"/>
    <n v="0"/>
    <n v="0"/>
    <n v="0"/>
    <n v="7453.58"/>
    <n v="10608.59"/>
    <n v="42.3287869721664"/>
    <n v="0"/>
    <n v="0"/>
    <n v="0"/>
  </r>
  <r>
    <x v="2"/>
    <x v="2"/>
    <s v="SPILLANEMS"/>
    <s v="Cypress, TX"/>
    <n v="235889"/>
    <d v="2000-01-01T00:00:00.000"/>
    <n v="0"/>
    <n v="0"/>
    <n v="0"/>
    <n v="14974.79"/>
    <n v="6670.74"/>
    <n v="-55.45353223651217"/>
    <n v="0"/>
    <n v="0"/>
    <n v="0"/>
  </r>
  <r>
    <x v="0"/>
    <x v="2"/>
    <s v="SWENKEES"/>
    <s v="Cypress, TX"/>
    <n v="107914"/>
    <d v="2000-01-01T00:00:00.000"/>
    <n v="0"/>
    <n v="0"/>
    <n v="0"/>
    <n v="11701.4"/>
    <n v="16808.75"/>
    <n v="43.64734134377083"/>
    <n v="0"/>
    <n v="0"/>
    <n v="0"/>
  </r>
  <r>
    <x v="0"/>
    <x v="2"/>
    <s v="TIPPSES"/>
    <s v="Houston, TX"/>
    <n v="101727"/>
    <d v="2000-01-01T00:00:00.000"/>
    <n v="0"/>
    <n v="0"/>
    <n v="0"/>
    <n v="1090.25"/>
    <n v="540"/>
    <n v="-50.470075670717726"/>
    <n v="0"/>
    <n v="0"/>
    <n v="0"/>
  </r>
  <r>
    <x v="0"/>
    <x v="2"/>
    <s v="WALKERES"/>
    <s v="Katy, TX"/>
    <n v="99857"/>
    <d v="2020-05-01T00:00:00.000"/>
    <n v="0"/>
    <n v="0"/>
    <n v="0"/>
    <n v="2568.42"/>
    <n v="4897.38"/>
    <n v="90.67675847408134"/>
    <n v="0"/>
    <n v="0"/>
    <n v="0"/>
  </r>
  <r>
    <x v="0"/>
    <x v="2"/>
    <s v="WARNERES"/>
    <s v="Cypress, TX"/>
    <n v="101523"/>
    <d v="2020-05-01T00:00:00.000"/>
    <n v="0"/>
    <n v="0"/>
    <n v="0"/>
    <n v="7885.27"/>
    <n v="6372.78"/>
    <n v="-19.18120749194384"/>
    <n v="0"/>
    <n v="0"/>
    <n v="0"/>
  </r>
  <r>
    <x v="0"/>
    <x v="2"/>
    <s v="WELLSES"/>
    <s v="Cypress, TX"/>
    <n v="122878"/>
    <d v="2000-01-01T00:00:00.000"/>
    <n v="0"/>
    <n v="0"/>
    <n v="0"/>
    <n v="15225.45"/>
    <n v="4471.4"/>
    <n v="-70.63206670410398"/>
    <n v="0"/>
    <n v="0"/>
    <n v="0"/>
  </r>
  <r>
    <x v="3"/>
    <x v="2"/>
    <s v="WESTGREENTRANS"/>
    <s v="Cypress, TX"/>
    <n v="45340"/>
    <d v="2000-01-01T00:00:00.000"/>
    <n v="0"/>
    <n v="0"/>
    <n v="0"/>
    <n v="248.79"/>
    <n v="746.77"/>
    <n v="200.160778166325"/>
    <n v="0"/>
    <n v="0"/>
    <n v="0"/>
  </r>
  <r>
    <x v="0"/>
    <x v="2"/>
    <s v="WOODARDES"/>
    <s v="Cypress, TX"/>
    <n v="115438"/>
    <d v="2000-01-01T00:00:00.000"/>
    <n v="0"/>
    <n v="0"/>
    <n v="0"/>
    <n v="1748.67"/>
    <n v="916.27"/>
    <n v="-47.60189172342409"/>
    <n v="0"/>
    <n v="0"/>
    <n v="0"/>
  </r>
  <r>
    <x v="0"/>
    <x v="2"/>
    <s v="YEAGERES"/>
    <s v="Houston, TX"/>
    <n v="81794"/>
    <d v="2000-01-01T00:00:00.000"/>
    <n v="0"/>
    <n v="0"/>
    <n v="0"/>
    <n v="2529.86"/>
    <n v="1617.69"/>
    <n v="-36.056145399350164"/>
    <n v="0"/>
    <n v="0"/>
    <n v="0"/>
  </r>
  <r>
    <x v="0"/>
    <x v="3"/>
    <s v="ADAM-ES"/>
    <s v="Houston, TX"/>
    <n v="109321"/>
    <n v="36526"/>
    <n v="500.477"/>
    <n v="593.28"/>
    <n v="18.54291006379914"/>
    <n v="3041.09"/>
    <n v="2522.49"/>
    <n v="-17.053096093834778"/>
    <n v="0"/>
    <n v="0"/>
    <n v="0"/>
  </r>
  <r>
    <x v="1"/>
    <x v="3"/>
    <s v="ALCABC"/>
    <s v="Houston, TX"/>
    <n v="56061"/>
    <n v="36526"/>
    <n v="440.325"/>
    <n v="546.93"/>
    <n v="24.210526315789476"/>
    <n v="2750.97"/>
    <n v="2352.61"/>
    <n v="-14.480710440317416"/>
    <n v="0"/>
    <n v="0"/>
    <n v="0"/>
  </r>
  <r>
    <x v="1"/>
    <x v="3"/>
    <s v="ALCWEST"/>
    <s v="Katy, TX"/>
    <n v="50839"/>
    <n v="36526"/>
    <n v="399.53700000000003"/>
    <n v="1103.13"/>
    <n v="176.1020881670533"/>
    <n v="2590.66"/>
    <n v="4539.56"/>
    <n v="75.22793419437518"/>
    <n v="0"/>
    <n v="0"/>
    <n v="0"/>
  </r>
  <r>
    <x v="0"/>
    <x v="3"/>
    <s v="ANDREES"/>
    <s v="Cypress, TX"/>
    <n v="107836"/>
    <n v="36526"/>
    <n v="589.2629999999999"/>
    <n v="597.4"/>
    <n v="1.380877468973963"/>
    <n v="3525.12"/>
    <n v="2525.89"/>
    <n v="-28.345985384894696"/>
    <n v="0"/>
    <n v="0"/>
    <n v="0"/>
  </r>
  <r>
    <x v="2"/>
    <x v="3"/>
    <s v="ANTHONYMS"/>
    <s v="Cypress, TX"/>
    <n v="244123"/>
    <n v="36526"/>
    <n v="1547.781"/>
    <n v="1864.3"/>
    <n v="20.449856924203097"/>
    <n v="8848.27"/>
    <n v="7472.64"/>
    <n v="-15.546880915704426"/>
    <n v="0"/>
    <n v="0"/>
    <n v="0"/>
  </r>
  <r>
    <x v="2"/>
    <x v="3"/>
    <s v="ARAGONMS"/>
    <s v="Houston, TX"/>
    <n v="219821"/>
    <n v="36526"/>
    <n v="1393.178"/>
    <n v="1645.94"/>
    <n v="18.14283601951795"/>
    <n v="8118.71"/>
    <n v="6875.86"/>
    <n v="-15.308466492829526"/>
    <n v="0"/>
    <n v="0"/>
    <n v="0"/>
  </r>
  <r>
    <x v="2"/>
    <x v="3"/>
    <s v="ARNOLDMS"/>
    <s v="Cypress, TX"/>
    <n v="211238"/>
    <n v="36526"/>
    <n v="6378.79"/>
    <n v="8152.45"/>
    <n v="27.805586953011467"/>
    <n v="33901.21"/>
    <n v="32549.53"/>
    <n v="-3.9871143242379845"/>
    <n v="0"/>
    <n v="0"/>
    <n v="0"/>
  </r>
  <r>
    <x v="0"/>
    <x v="3"/>
    <s v="AULTES"/>
    <s v="Cypress, TX"/>
    <n v="89416"/>
    <n v="36526"/>
    <n v="497.593"/>
    <n v="415.09"/>
    <n v="-16.580418132891747"/>
    <n v="2996.95"/>
    <n v="1928.01"/>
    <n v="-35.667595388645125"/>
    <n v="0"/>
    <n v="0"/>
    <n v="0"/>
  </r>
  <r>
    <x v="0"/>
    <x v="3"/>
    <s v="BANEES"/>
    <s v="Houston, TX"/>
    <n v="106804"/>
    <n v="36526"/>
    <n v="352.26"/>
    <n v="831.21"/>
    <n v="135.96491228070175"/>
    <n v="2065.49"/>
    <n v="3452.43"/>
    <n v="67.14823117032762"/>
    <n v="0"/>
    <n v="0"/>
    <n v="0"/>
  </r>
  <r>
    <x v="0"/>
    <x v="3"/>
    <s v="BANGES"/>
    <s v="Houston, TX"/>
    <n v="85320"/>
    <n v="36526"/>
    <n v="382.439"/>
    <n v="600.49"/>
    <n v="57.01589011580931"/>
    <n v="2386.3"/>
    <n v="2544.07"/>
    <n v="6.611490592130076"/>
    <n v="0"/>
    <n v="0"/>
    <n v="0"/>
  </r>
  <r>
    <x v="3"/>
    <x v="3"/>
    <s v="BARKERTRANS"/>
    <s v="Houston, TX"/>
    <n v="22677"/>
    <n v="36526"/>
    <n v="120.81899999999997"/>
    <n v="181.28"/>
    <n v="50.04262574595058"/>
    <n v="895.71"/>
    <n v="930.36"/>
    <n v="3.8684395619117793"/>
    <n v="0"/>
    <n v="0"/>
    <n v="0"/>
  </r>
  <r>
    <x v="3"/>
    <x v="3"/>
    <s v="BERRYCENTER"/>
    <s v="Cypress, TX"/>
    <n v="491434"/>
    <n v="36526"/>
    <n v="4140.6"/>
    <n v="3976.83"/>
    <n v="-3.955223880597015"/>
    <n v="22324.71"/>
    <n v="17847.88"/>
    <n v="-20.053250411763468"/>
    <n v="0"/>
    <n v="0"/>
    <n v="0"/>
  </r>
  <r>
    <x v="0"/>
    <x v="3"/>
    <s v="BIRKESES"/>
    <s v="Houston, TX"/>
    <n v="106488"/>
    <n v="36526"/>
    <n v="819.159"/>
    <n v="724.09"/>
    <n v="-11.605683389915749"/>
    <n v="4804.64"/>
    <n v="3262.68"/>
    <n v="-32.093143294815015"/>
    <n v="0"/>
    <n v="0"/>
    <n v="0"/>
  </r>
  <r>
    <x v="0"/>
    <x v="3"/>
    <s v="BLACKES"/>
    <s v="Cypress, TX"/>
    <n v="98920"/>
    <n v="43952"/>
    <n v="319.094"/>
    <n v="440.84"/>
    <n v="38.15364751452549"/>
    <n v="1934.78"/>
    <n v="2042.57"/>
    <n v="5.571176051023889"/>
    <n v="0"/>
    <n v="0"/>
    <n v="0"/>
  </r>
  <r>
    <x v="2"/>
    <x v="3"/>
    <s v="BLEYLMS"/>
    <s v="Houston, TX"/>
    <n v="229363"/>
    <n v="36526"/>
    <n v="3308.36"/>
    <n v="3382.52"/>
    <n v="2.2415940224159403"/>
    <n v="21021.74"/>
    <n v="13573.43"/>
    <n v="-35.431462857023256"/>
    <n v="0"/>
    <n v="0"/>
    <n v="0"/>
  </r>
  <r>
    <x v="3"/>
    <x v="3"/>
    <s v="BRADLEYPOLICESTATION"/>
    <s v="Cypress, TX"/>
    <n v="19680"/>
    <n v="43952"/>
    <n v="212.798"/>
    <n v="224.54"/>
    <n v="5.517909002904166"/>
    <n v="1429.66"/>
    <n v="1063.72"/>
    <n v="-25.596295622735475"/>
    <n v="0"/>
    <n v="0"/>
    <n v="0"/>
  </r>
  <r>
    <x v="1"/>
    <x v="3"/>
    <s v="BRAUTIGAMCENTER"/>
    <s v="Houston, TX"/>
    <n v="85895"/>
    <n v="43952"/>
    <n v="128.338"/>
    <n v="470.71"/>
    <n v="266.77367576243984"/>
    <n v="1047.82"/>
    <n v="1968.42"/>
    <n v="87.85860166822546"/>
    <n v="0"/>
    <n v="0"/>
    <n v="0"/>
  </r>
  <r>
    <x v="4"/>
    <x v="3"/>
    <s v="BRIDGELANDHS"/>
    <s v="Cypress, TX"/>
    <n v="573468"/>
    <n v="36526"/>
    <n v="7517.97"/>
    <n v="3797.61"/>
    <n v="-49.486230990546645"/>
    <n v="39413.82"/>
    <n v="15652.41"/>
    <n v="-60.28700085401517"/>
    <n v="0"/>
    <n v="0"/>
    <n v="0"/>
  </r>
  <r>
    <x v="2"/>
    <x v="3"/>
    <s v="CAMPBELLMS"/>
    <s v="Houston, TX"/>
    <n v="232039"/>
    <n v="43952"/>
    <n v="3195.06"/>
    <n v="2591.48"/>
    <n v="-18.89103803997421"/>
    <n v="20076.91"/>
    <n v="10568.97"/>
    <n v="-47.35758640149305"/>
    <n v="0"/>
    <n v="0"/>
    <n v="0"/>
  </r>
  <r>
    <x v="3"/>
    <x v="3"/>
    <s v="CFISDNATATORIUM"/>
    <s v="Houston, TX"/>
    <n v="49471"/>
    <n v="36526"/>
    <n v="17400.82"/>
    <n v="19882.09"/>
    <n v="14.25950041434829"/>
    <n v="78720"/>
    <n v="68425.6"/>
    <n v="-13.077235772357724"/>
    <n v="0"/>
    <n v="0"/>
    <n v="0"/>
  </r>
  <r>
    <x v="2"/>
    <x v="3"/>
    <s v="COOKMS"/>
    <s v="Houston, TX"/>
    <n v="205797"/>
    <n v="43952"/>
    <n v="1042.36"/>
    <n v="1356.51"/>
    <n v="30.138339920948614"/>
    <n v="6257.77"/>
    <n v="5516.56"/>
    <n v="-11.844634750078704"/>
    <n v="0"/>
    <n v="0"/>
    <n v="0"/>
  </r>
  <r>
    <x v="0"/>
    <x v="3"/>
    <s v="COPELANDES"/>
    <s v="Houston, TX"/>
    <n v="86318"/>
    <n v="36526"/>
    <n v="273.98"/>
    <n v="262.65"/>
    <n v="-4.135338345864662"/>
    <n v="1796.05"/>
    <n v="1497.1"/>
    <n v="-16.644859552907768"/>
    <n v="0"/>
    <n v="0"/>
    <n v="0"/>
  </r>
  <r>
    <x v="4"/>
    <x v="3"/>
    <s v="CY-CREEKHS"/>
    <s v="Houston, TX"/>
    <n v="527749"/>
    <n v="43952"/>
    <n v="5568.18"/>
    <n v="7515.91"/>
    <n v="34.97965223825379"/>
    <n v="28643.03"/>
    <n v="28020.25"/>
    <n v="-2.1742811427422306"/>
    <n v="0"/>
    <n v="0"/>
    <n v="0"/>
  </r>
  <r>
    <x v="1"/>
    <x v="3"/>
    <s v="CY-FALLSAGVOC"/>
    <s v="Houston, TX"/>
    <n v="0"/>
    <n v="36526"/>
    <n v="198.069"/>
    <n v="197.76"/>
    <n v="-0.156006240249599"/>
    <n v="1360.92"/>
    <n v="1147.39"/>
    <n v="-15.690121388472503"/>
    <n v="0"/>
    <n v="0"/>
    <n v="0"/>
  </r>
  <r>
    <x v="4"/>
    <x v="3"/>
    <s v="CY-FALLSHS"/>
    <s v="Houston, TX"/>
    <n v="567967"/>
    <n v="43952"/>
    <n v="4339.39"/>
    <n v="3450.5"/>
    <n v="-20.484215523380012"/>
    <n v="27314.83"/>
    <n v="14829.63"/>
    <n v="-45.708503402730315"/>
    <n v="0"/>
    <n v="0"/>
    <n v="0"/>
  </r>
  <r>
    <x v="4"/>
    <x v="3"/>
    <s v="CY-LAKESHS"/>
    <s v="Katy, TX"/>
    <n v="514068"/>
    <n v="43952"/>
    <n v="5813.32"/>
    <n v="5499.17"/>
    <n v="-5.40396881644224"/>
    <n v="29793.34"/>
    <n v="22077.29"/>
    <n v="-25.898573305309174"/>
    <n v="0"/>
    <n v="0"/>
    <n v="0"/>
  </r>
  <r>
    <x v="4"/>
    <x v="3"/>
    <s v="CY-PARKHS"/>
    <s v="Cypress, TX"/>
    <n v="590057"/>
    <n v="36526"/>
    <n v="7825.94"/>
    <n v="9222.62"/>
    <n v="17.846801789944724"/>
    <n v="38883.91"/>
    <n v="33891.4"/>
    <n v="-12.839526683401953"/>
    <n v="0"/>
    <n v="0"/>
    <n v="0"/>
  </r>
  <r>
    <x v="4"/>
    <x v="3"/>
    <s v="CY-RANCHHS"/>
    <s v="Cypress, TX"/>
    <n v="527131"/>
    <n v="43952"/>
    <n v="5030.005000000001"/>
    <n v="4599.98"/>
    <n v="-8.549196273164748"/>
    <n v="27361.98"/>
    <n v="18799.78"/>
    <n v="-31.292326067046318"/>
    <n v="0"/>
    <n v="0"/>
    <n v="0"/>
  </r>
  <r>
    <x v="4"/>
    <x v="3"/>
    <s v="CY-RIDGEHS"/>
    <s v="Houston, TX"/>
    <n v="499564"/>
    <n v="43952"/>
    <n v="4366.17"/>
    <n v="5276.69"/>
    <n v="20.853974994102384"/>
    <n v="23176.72"/>
    <n v="20806.02"/>
    <n v="-10.228798553030801"/>
    <n v="0"/>
    <n v="0"/>
    <n v="0"/>
  </r>
  <r>
    <x v="4"/>
    <x v="3"/>
    <s v="CY-SPRINGSHS"/>
    <s v="Cypress, TX"/>
    <n v="478618"/>
    <n v="43952"/>
    <n v="3922.24"/>
    <n v="5105.71"/>
    <n v="30.173319327731093"/>
    <n v="21451.07"/>
    <n v="20140.34"/>
    <n v="-6.110324566560084"/>
    <n v="0"/>
    <n v="0"/>
    <n v="0"/>
  </r>
  <r>
    <x v="1"/>
    <x v="3"/>
    <s v="CY-WOODSCARLTONCENTERKITCHEN"/>
    <s v="Cypress, TX"/>
    <n v="37977"/>
    <n v="36526"/>
    <n v="33.681"/>
    <n v="30.9"/>
    <n v="-8.256880733944952"/>
    <n v="459.64"/>
    <n v="559.18"/>
    <n v="21.656078670263682"/>
    <n v="0"/>
    <n v="0"/>
    <n v="0"/>
  </r>
  <r>
    <x v="4"/>
    <x v="3"/>
    <s v="CY-WOODSHS"/>
    <s v="Cypress, TX"/>
    <n v="499473"/>
    <n v="43952"/>
    <n v="5509.47"/>
    <n v="5993.57"/>
    <n v="8.786689100766498"/>
    <n v="27711.61"/>
    <n v="23522.88"/>
    <n v="-15.11543356737483"/>
    <n v="0"/>
    <n v="0"/>
    <n v="0"/>
  </r>
  <r>
    <x v="0"/>
    <x v="3"/>
    <s v="DANISHES"/>
    <s v="Houston, TX"/>
    <n v="98052"/>
    <n v="43952"/>
    <n v="341.857"/>
    <n v="537.66"/>
    <n v="57.276288038565816"/>
    <n v="2157.29"/>
    <n v="2389.99"/>
    <n v="10.786681438285997"/>
    <n v="0"/>
    <n v="0"/>
    <n v="0"/>
  </r>
  <r>
    <x v="2"/>
    <x v="3"/>
    <s v="DEANMS"/>
    <s v="Houston, TX"/>
    <n v="225860"/>
    <n v="43952"/>
    <n v="1591.1439999999996"/>
    <n v="1466.72"/>
    <n v="-7.819782496115982"/>
    <n v="10056.61"/>
    <n v="6774.65"/>
    <n v="-32.6348540909909"/>
    <n v="0"/>
    <n v="0"/>
    <n v="0"/>
  </r>
  <r>
    <x v="0"/>
    <x v="3"/>
    <s v="DURYEAES"/>
    <s v="Katy, TX"/>
    <n v="96423"/>
    <n v="43952"/>
    <n v="504.69999999999993"/>
    <n v="590.19"/>
    <n v="16.9387755102041"/>
    <n v="3068.96"/>
    <n v="2570.42"/>
    <n v="-16.244591001511914"/>
    <n v="0"/>
    <n v="0"/>
    <n v="0"/>
  </r>
  <r>
    <x v="3"/>
    <x v="3"/>
    <s v="ELC1"/>
    <s v="Houston, TX"/>
    <n v="6832"/>
    <n v="36526"/>
    <n v="36.153"/>
    <n v="13.39"/>
    <n v="-62.962962962962955"/>
    <n v="437.89"/>
    <n v="322.98"/>
    <n v="-26.241750211240266"/>
    <n v="0"/>
    <n v="0"/>
    <n v="0"/>
  </r>
  <r>
    <x v="3"/>
    <x v="3"/>
    <s v="ELDRIDGETRANS"/>
    <s v="Houston, TX"/>
    <n v="26451"/>
    <n v="36526"/>
    <n v="238.96"/>
    <n v="270.89"/>
    <n v="13.362068965517242"/>
    <n v="1564.39"/>
    <n v="1437.88"/>
    <n v="-8.086858136398213"/>
    <n v="0"/>
    <n v="0"/>
    <n v="0"/>
  </r>
  <r>
    <x v="0"/>
    <x v="3"/>
    <s v="EMERYES"/>
    <s v="Katy, TX"/>
    <n v="96902"/>
    <n v="43952"/>
    <n v="322.08099999999996"/>
    <n v="341.96"/>
    <n v="6.172049888071651"/>
    <n v="2058.95"/>
    <n v="1670.67"/>
    <n v="-18.858155856140264"/>
    <n v="0"/>
    <n v="0"/>
    <n v="0"/>
  </r>
  <r>
    <x v="0"/>
    <x v="3"/>
    <s v="EMMOTTES"/>
    <s v="Houston, TX"/>
    <n v="77394"/>
    <n v="43952"/>
    <n v="410.55800000000005"/>
    <n v="444.96"/>
    <n v="8.379327646763665"/>
    <n v="2397.51"/>
    <n v="2034.14"/>
    <n v="-15.156141163123406"/>
    <n v="0"/>
    <n v="0"/>
    <n v="0"/>
  </r>
  <r>
    <x v="3"/>
    <x v="3"/>
    <s v="EXHIBITCENTERSCIENCERESOURCEC"/>
    <s v="Cypress, TX"/>
    <n v="72198"/>
    <n v="36526"/>
    <n v="882.9159999999999"/>
    <n v="1105.19"/>
    <n v="25.17498833411107"/>
    <n v="5174.32"/>
    <n v="4446.17"/>
    <n v="-14.07238052536372"/>
    <n v="0"/>
    <n v="0"/>
    <n v="0"/>
  </r>
  <r>
    <x v="3"/>
    <x v="3"/>
    <s v="FALCONCOMPLEX"/>
    <s v="Houston, TX"/>
    <n v="0"/>
    <n v="36526"/>
    <n v="322.184"/>
    <n v="299.73"/>
    <n v="-6.969309462915605"/>
    <n v="2025.63"/>
    <n v="1495.81"/>
    <n v="-26.155813253160744"/>
    <n v="0"/>
    <n v="0"/>
    <n v="0"/>
  </r>
  <r>
    <x v="0"/>
    <x v="3"/>
    <s v="FARNEYES"/>
    <s v="Cypress, TX"/>
    <n v="95036"/>
    <n v="36526"/>
    <n v="1335.91"/>
    <n v="1035.15"/>
    <n v="-22.51349267540478"/>
    <n v="7695.62"/>
    <n v="4560.06"/>
    <n v="-40.74473531697251"/>
    <n v="0"/>
    <n v="0"/>
    <n v="0"/>
  </r>
  <r>
    <x v="0"/>
    <x v="3"/>
    <s v="FIESTES"/>
    <s v="Houston, TX"/>
    <n v="91621"/>
    <n v="36526"/>
    <n v="323.729"/>
    <n v="342.99"/>
    <n v="5.949729557747382"/>
    <n v="2082.21"/>
    <n v="1639.16"/>
    <n v="-21.277873029137314"/>
    <n v="0"/>
    <n v="0"/>
    <n v="0"/>
  </r>
  <r>
    <x v="3"/>
    <x v="3"/>
    <s v="FOODPRODUCTIONCENTER"/>
    <s v="Houston, TX"/>
    <n v="57684"/>
    <n v="36526"/>
    <n v="6867.01"/>
    <n v="14298.46"/>
    <n v="108.21958902054898"/>
    <n v="33435.63"/>
    <n v="55023.75"/>
    <n v="64.56621274969247"/>
    <n v="0"/>
    <n v="0"/>
    <n v="0"/>
  </r>
  <r>
    <x v="3"/>
    <x v="3"/>
    <s v="FOODSERVICEWAREHOUSE"/>
    <s v="Houston, TX"/>
    <n v="49742"/>
    <n v="36526"/>
    <n v="134.312"/>
    <n v="486.16"/>
    <n v="261.96319018404904"/>
    <n v="761.96"/>
    <n v="1998.99"/>
    <n v="162.34841723975012"/>
    <n v="0"/>
    <n v="0"/>
    <n v="0"/>
  </r>
  <r>
    <x v="0"/>
    <x v="3"/>
    <s v="FRANCONEES"/>
    <s v="Houston, TX"/>
    <n v="90518"/>
    <n v="36526"/>
    <n v="381.9240000000001"/>
    <n v="467.62"/>
    <n v="22.43797195253503"/>
    <n v="2392.89"/>
    <n v="2077.72"/>
    <n v="-13.171102725156608"/>
    <n v="0"/>
    <n v="0"/>
    <n v="0"/>
  </r>
  <r>
    <x v="0"/>
    <x v="3"/>
    <s v="GLEASONES"/>
    <s v="Houston, TX"/>
    <n v="91424"/>
    <n v="36526"/>
    <n v="327.87475"/>
    <n v="944.51"/>
    <n v="188.07036833424957"/>
    <n v="1916.6"/>
    <n v="3791.89"/>
    <n v="97.84462068245851"/>
    <n v="0"/>
    <n v="0"/>
    <n v="0"/>
  </r>
  <r>
    <x v="2"/>
    <x v="3"/>
    <s v="GOODSONMS"/>
    <s v="Cypress, TX"/>
    <n v="218801"/>
    <n v="36526"/>
    <n v="1675.707"/>
    <n v="2507.02"/>
    <n v="49.609687135042094"/>
    <n v="9800.77"/>
    <n v="9310.5"/>
    <n v="-5.002362059307585"/>
    <n v="0"/>
    <n v="0"/>
    <n v="0"/>
  </r>
  <r>
    <x v="0"/>
    <x v="3"/>
    <s v="HAIRGROVEES"/>
    <s v="Houston, TX"/>
    <n v="85052"/>
    <n v="36526"/>
    <n v="240.608"/>
    <n v="376.98"/>
    <n v="56.678082191780824"/>
    <n v="1626.31"/>
    <n v="1789.21"/>
    <n v="10.016540511956515"/>
    <n v="0"/>
    <n v="0"/>
    <n v="0"/>
  </r>
  <r>
    <x v="0"/>
    <x v="3"/>
    <s v="HAMILTONES"/>
    <s v="Cypress, TX"/>
    <n v="85650"/>
    <n v="36526"/>
    <n v="335.574"/>
    <n v="407.88"/>
    <n v="21.546961325966844"/>
    <n v="2047.79"/>
    <n v="1905.39"/>
    <n v="-6.953838040033402"/>
    <n v="0"/>
    <n v="0"/>
    <n v="0"/>
  </r>
  <r>
    <x v="2"/>
    <x v="3"/>
    <s v="HAMILTONMS"/>
    <s v="Cypress, TX"/>
    <n v="192751"/>
    <n v="36526"/>
    <n v="1056.78"/>
    <n v="1606.8"/>
    <n v="52.046783625730995"/>
    <n v="6112.53"/>
    <n v="6527.97"/>
    <n v="6.796531059970258"/>
    <n v="0"/>
    <n v="0"/>
    <n v="0"/>
  </r>
  <r>
    <x v="0"/>
    <x v="3"/>
    <s v="HANCOCKES"/>
    <s v="Houston, TX"/>
    <n v="88795"/>
    <n v="36526"/>
    <n v="693.8080000000002"/>
    <n v="921.85"/>
    <n v="32.86817102137764"/>
    <n v="3945.6"/>
    <n v="3692.68"/>
    <n v="-6.410178426601784"/>
    <n v="0"/>
    <n v="0"/>
    <n v="0"/>
  </r>
  <r>
    <x v="0"/>
    <x v="3"/>
    <s v="HEMMENWAYES"/>
    <s v="Katy, TX"/>
    <n v="96483"/>
    <n v="36526"/>
    <n v="358.64599999999996"/>
    <n v="715.85"/>
    <n v="99.59793222286044"/>
    <n v="2406.45"/>
    <n v="2982.75"/>
    <n v="23.948139375428536"/>
    <n v="0"/>
    <n v="0"/>
    <n v="0"/>
  </r>
  <r>
    <x v="0"/>
    <x v="3"/>
    <s v="HOLBROOKES"/>
    <s v="Houston, TX"/>
    <n v="99937"/>
    <n v="36526"/>
    <n v="624.4889999999999"/>
    <n v="691.13"/>
    <n v="10.671284842487228"/>
    <n v="3898.57"/>
    <n v="3156.64"/>
    <n v="-19.03082412269114"/>
    <n v="0"/>
    <n v="0"/>
    <n v="0"/>
  </r>
  <r>
    <x v="0"/>
    <x v="3"/>
    <s v="HOLMSLEYES"/>
    <s v="Houston, TX"/>
    <n v="80168"/>
    <n v="43952"/>
    <n v="726.4590000000001"/>
    <n v="736.45"/>
    <n v="1.375301290231095"/>
    <n v="4307.24"/>
    <n v="2940.54"/>
    <n v="-31.7302959667908"/>
    <n v="0"/>
    <n v="0"/>
    <n v="0"/>
  </r>
  <r>
    <x v="0"/>
    <x v="3"/>
    <s v="HOOVERES"/>
    <s v="Katy, TX"/>
    <n v="112519"/>
    <n v="36526"/>
    <n v="670.4270000000001"/>
    <n v="675.68"/>
    <n v="0.7835304962359635"/>
    <n v="3969.79"/>
    <n v="2855.43"/>
    <n v="-28.071006274891115"/>
    <n v="0"/>
    <n v="0"/>
    <n v="0"/>
  </r>
  <r>
    <x v="2"/>
    <x v="3"/>
    <s v="HOPPERMS"/>
    <s v="Cypress, TX"/>
    <n v="226178"/>
    <n v="36526"/>
    <n v="2205.745"/>
    <n v="2088.84"/>
    <n v="-5.3000233481204635"/>
    <n v="12841.66"/>
    <n v="8692.05"/>
    <n v="-32.31365726860858"/>
    <n v="0"/>
    <n v="0"/>
    <n v="0"/>
  </r>
  <r>
    <x v="0"/>
    <x v="3"/>
    <s v="HORNEES"/>
    <s v="Houston, TX"/>
    <n v="87881"/>
    <n v="36526"/>
    <n v="608.4209999999999"/>
    <n v="555.17"/>
    <n v="-8.752327746741141"/>
    <n v="3667.92"/>
    <n v="2448.43"/>
    <n v="-33.24745359767934"/>
    <n v="0"/>
    <n v="0"/>
    <n v="0"/>
  </r>
  <r>
    <x v="3"/>
    <x v="3"/>
    <s v="ISCA"/>
    <s v="Houston, TX"/>
    <n v="132467"/>
    <n v="36526"/>
    <n v="746.75"/>
    <n v="674.65"/>
    <n v="-9.655172413793103"/>
    <n v="4508.12"/>
    <n v="3056.6"/>
    <n v="-32.19790067700061"/>
    <n v="0"/>
    <n v="0"/>
    <n v="0"/>
  </r>
  <r>
    <x v="3"/>
    <x v="3"/>
    <s v="ISCW"/>
    <s v="Houston, TX"/>
    <n v="35364"/>
    <n v="36526"/>
    <n v="273.774"/>
    <n v="295.61"/>
    <n v="7.975921745673433"/>
    <n v="1753.33"/>
    <n v="1515.34"/>
    <n v="-13.573599949809791"/>
    <n v="0"/>
    <n v="0"/>
    <n v="0"/>
  </r>
  <r>
    <x v="4"/>
    <x v="3"/>
    <s v="JERSEYVILLAGEHS"/>
    <s v="Houston, TX"/>
    <n v="513473"/>
    <n v="43952"/>
    <n v="3150.77"/>
    <n v="2921.08"/>
    <n v="-7.289964040536123"/>
    <n v="19583.19"/>
    <n v="11331.12"/>
    <n v="-42.13853820547112"/>
    <n v="0"/>
    <n v="0"/>
    <n v="0"/>
  </r>
  <r>
    <x v="0"/>
    <x v="3"/>
    <s v="JOWELLES"/>
    <s v="Katy, TX"/>
    <n v="73726"/>
    <n v="36526"/>
    <n v="279.336"/>
    <n v="335.78"/>
    <n v="20.206489675516213"/>
    <n v="1814.52"/>
    <n v="1650.74"/>
    <n v="-9.026078522143598"/>
    <n v="0"/>
    <n v="0"/>
    <n v="0"/>
  </r>
  <r>
    <x v="2"/>
    <x v="3"/>
    <s v="KAHLAMS"/>
    <s v="Houston, TX"/>
    <n v="221601"/>
    <n v="36526"/>
    <n v="2689.33"/>
    <n v="2637.83"/>
    <n v="-1.9149751053236306"/>
    <n v="15094.14"/>
    <n v="10853.24"/>
    <n v="-28.096334074018127"/>
    <n v="0"/>
    <n v="0"/>
    <n v="0"/>
  </r>
  <r>
    <x v="0"/>
    <x v="3"/>
    <s v="KEITHES"/>
    <s v="Cypress, TX"/>
    <n v="95518"/>
    <n v="36526"/>
    <n v="461.64599999999996"/>
    <n v="551.05"/>
    <n v="19.366354306113347"/>
    <n v="2892.03"/>
    <n v="2641.85"/>
    <n v="-8.6506709819746"/>
    <n v="0"/>
    <n v="0"/>
    <n v="0"/>
  </r>
  <r>
    <x v="0"/>
    <x v="3"/>
    <s v="KIRKES"/>
    <s v="Houston, TX"/>
    <n v="93897"/>
    <n v="36526"/>
    <n v="598.5330000000001"/>
    <n v="596.37"/>
    <n v="-0.3613835828601099"/>
    <n v="3609.28"/>
    <n v="2742.09"/>
    <n v="-24.026675680468124"/>
    <n v="0"/>
    <n v="0"/>
    <n v="0"/>
  </r>
  <r>
    <x v="2"/>
    <x v="3"/>
    <s v="LABAYMS"/>
    <s v="Houston, TX"/>
    <n v="190510"/>
    <n v="43952"/>
    <n v="1037.004"/>
    <n v="1414.19"/>
    <n v="36.37266587206993"/>
    <n v="6142.07"/>
    <n v="5648.44"/>
    <n v="-8.036867049707997"/>
    <n v="0"/>
    <n v="0"/>
    <n v="0"/>
  </r>
  <r>
    <x v="0"/>
    <x v="3"/>
    <s v="LAMKINES"/>
    <s v="Cypress, TX"/>
    <n v="113622"/>
    <n v="43956"/>
    <n v="766.32"/>
    <n v="663.32"/>
    <n v="-13.440860215053762"/>
    <n v="2944.18"/>
    <n v="2821.78"/>
    <n v="-4.157354509574822"/>
    <n v="0"/>
    <n v="0"/>
    <n v="0"/>
  </r>
  <r>
    <x v="4"/>
    <x v="3"/>
    <s v="LANGHAMCREEKHS"/>
    <s v="Houston, TX"/>
    <n v="535686"/>
    <n v="36526"/>
    <n v="3301.15"/>
    <n v="3979.92"/>
    <n v="20.561622464898598"/>
    <n v="21122.17"/>
    <n v="14200.82"/>
    <n v="-32.76817675456641"/>
    <n v="0"/>
    <n v="0"/>
    <n v="0"/>
  </r>
  <r>
    <x v="3"/>
    <x v="3"/>
    <s v="LANGHAMCREEKRETENTIONPOND"/>
    <s v="Houston, TX"/>
    <n v="0"/>
    <n v="36526"/>
    <n v="24.617000000000004"/>
    <n v="29.87"/>
    <n v="21.3389121338912"/>
    <n v="374.37"/>
    <n v="367.33"/>
    <n v="-1.880492560835537"/>
    <n v="0"/>
    <n v="0"/>
    <n v="0"/>
  </r>
  <r>
    <x v="0"/>
    <x v="3"/>
    <s v="LEEES"/>
    <s v="Houston, TX"/>
    <n v="95352"/>
    <n v="36526"/>
    <n v="974.895"/>
    <n v="1220.55"/>
    <n v="25.19809825673534"/>
    <n v="5602.59"/>
    <n v="5030.32"/>
    <n v="-10.214382990723934"/>
    <n v="0"/>
    <n v="0"/>
    <n v="0"/>
  </r>
  <r>
    <x v="0"/>
    <x v="3"/>
    <s v="LIEDERES"/>
    <s v="Houston, TX"/>
    <n v="88406"/>
    <n v="36526"/>
    <n v="564.5430000000001"/>
    <n v="733.36"/>
    <n v="29.9033023170954"/>
    <n v="3404.15"/>
    <n v="3228.37"/>
    <n v="-5.16369725188373"/>
    <n v="0"/>
    <n v="0"/>
    <n v="0"/>
  </r>
  <r>
    <x v="0"/>
    <x v="3"/>
    <s v="LOWERYES"/>
    <s v="Houston, TX"/>
    <n v="78614"/>
    <n v="43956"/>
    <n v="0.618"/>
    <n v="1.03"/>
    <n v="66.66666666666667"/>
    <n v="232.55"/>
    <n v="278.03"/>
    <n v="19.55708449795743"/>
    <n v="0"/>
    <n v="0"/>
    <n v="0"/>
  </r>
  <r>
    <x v="3"/>
    <x v="3"/>
    <s v="MAINTENANCEOPER"/>
    <s v="Houston, TX"/>
    <n v="36679"/>
    <n v="43952"/>
    <n v="428.17100000000005"/>
    <n v="361.53"/>
    <n v="-15.564108732258854"/>
    <n v="2638.13"/>
    <n v="1804.86"/>
    <n v="-31.5856307308586"/>
    <n v="0"/>
    <n v="0"/>
    <n v="0"/>
  </r>
  <r>
    <x v="0"/>
    <x v="3"/>
    <s v="MATZKEMILLSES"/>
    <s v="Houston, TX"/>
    <n v="124682"/>
    <n v="36526"/>
    <n v="1820.3190000000002"/>
    <n v="955.84"/>
    <n v="-47.490522265602905"/>
    <n v="11802.27"/>
    <n v="3938.02"/>
    <n v="-66.63336798768373"/>
    <n v="0"/>
    <n v="0"/>
    <n v="0"/>
  </r>
  <r>
    <x v="0"/>
    <x v="3"/>
    <s v="MCFEEES"/>
    <s v="Katy, TX"/>
    <n v="107075"/>
    <n v="36526"/>
    <n v="904.237"/>
    <n v="910.52"/>
    <n v="0.6948399589930548"/>
    <n v="5178.14"/>
    <n v="3890.47"/>
    <n v="-24.867423437759502"/>
    <n v="0"/>
    <n v="0"/>
    <n v="0"/>
  </r>
  <r>
    <x v="0"/>
    <x v="3"/>
    <s v="METCALFES"/>
    <s v="Houston, TX"/>
    <n v="85120"/>
    <n v="43956"/>
    <n v="369.35799999999995"/>
    <n v="273.98"/>
    <n v="-25.822643614054645"/>
    <n v="2203.92"/>
    <n v="1415.12"/>
    <n v="-35.790772804820506"/>
    <n v="0"/>
    <n v="0"/>
    <n v="0"/>
  </r>
  <r>
    <x v="0"/>
    <x v="3"/>
    <s v="MILLSAPES"/>
    <s v="Cypress, TX"/>
    <n v="74252"/>
    <n v="36526"/>
    <n v="566.9119999999999"/>
    <n v="529.42"/>
    <n v="-6.6133720930232505"/>
    <n v="3450.02"/>
    <n v="2347.11"/>
    <n v="-31.96822047408421"/>
    <n v="0"/>
    <n v="0"/>
    <n v="0"/>
  </r>
  <r>
    <x v="0"/>
    <x v="3"/>
    <s v="MOOREES"/>
    <s v="Houston, TX"/>
    <n v="83063"/>
    <n v="43952"/>
    <n v="154.39700000000002"/>
    <n v="520.15"/>
    <n v="236.89126084056036"/>
    <n v="1048.28"/>
    <n v="2245.42"/>
    <n v="114.20040447208761"/>
    <n v="0"/>
    <n v="0"/>
    <n v="0"/>
  </r>
  <r>
    <x v="0"/>
    <x v="3"/>
    <s v="OWENSES"/>
    <s v="Houston, TX"/>
    <n v="85590"/>
    <n v="43952"/>
    <n v="448.87399999999997"/>
    <n v="728.21"/>
    <n v="62.23038090867372"/>
    <n v="2592.71"/>
    <n v="2992.93"/>
    <n v="15.436358096354779"/>
    <n v="0"/>
    <n v="0"/>
    <n v="0"/>
  </r>
  <r>
    <x v="0"/>
    <x v="3"/>
    <s v="POPEES"/>
    <s v="Cypress, TX"/>
    <n v="112970"/>
    <n v="36526"/>
    <n v="504.082"/>
    <n v="603.58"/>
    <n v="19.738455251328165"/>
    <n v="3049.67"/>
    <n v="2610.58"/>
    <n v="-14.397951253742209"/>
    <n v="0"/>
    <n v="0"/>
    <n v="0"/>
  </r>
  <r>
    <x v="0"/>
    <x v="3"/>
    <s v="POSTES"/>
    <s v="Houston, TX"/>
    <n v="104852"/>
    <n v="36526"/>
    <n v="620.884"/>
    <n v="625.21"/>
    <n v="0.6967485069674827"/>
    <n v="3971"/>
    <n v="2823.28"/>
    <n v="-28.902543439939564"/>
    <n v="0"/>
    <n v="0"/>
    <n v="0"/>
  </r>
  <r>
    <x v="0"/>
    <x v="3"/>
    <s v="POSTMAES"/>
    <s v="Cypress, TX"/>
    <n v="100456"/>
    <n v="36526"/>
    <n v="448.153"/>
    <n v="632.42"/>
    <n v="41.116984601241086"/>
    <n v="2703.1"/>
    <n v="2714.38"/>
    <n v="0.41729865709740666"/>
    <n v="0"/>
    <n v="0"/>
    <n v="0"/>
  </r>
  <r>
    <x v="3"/>
    <x v="3"/>
    <s v="PRIDGEONSTADIUM"/>
    <s v="Houston, TX"/>
    <n v="86181"/>
    <n v="36526"/>
    <n v="56.958999999999996"/>
    <n v="61.8"/>
    <n v="8.499095840868"/>
    <n v="535.91"/>
    <n v="494.68"/>
    <n v="-7.693455990744715"/>
    <n v="0"/>
    <n v="0"/>
    <n v="0"/>
  </r>
  <r>
    <x v="0"/>
    <x v="3"/>
    <s v="REEDES"/>
    <s v="Houston, TX"/>
    <n v="90012"/>
    <n v="36526"/>
    <n v="419.519"/>
    <n v="329.6"/>
    <n v="-21.433832555855638"/>
    <n v="2531.26"/>
    <n v="1672.61"/>
    <n v="-33.92184129642945"/>
    <n v="0"/>
    <n v="0"/>
    <n v="0"/>
  </r>
  <r>
    <x v="0"/>
    <x v="3"/>
    <s v="RENNELLES"/>
    <s v="Cypress, TX"/>
    <n v="110549"/>
    <n v="36526"/>
    <n v="621.5019999999998"/>
    <n v="599.46"/>
    <n v="-3.5465694398408742"/>
    <n v="3746.32"/>
    <n v="2572.26"/>
    <n v="-31.33902069230605"/>
    <n v="0"/>
    <n v="0"/>
    <n v="0"/>
  </r>
  <r>
    <x v="0"/>
    <x v="3"/>
    <s v="ROBINSONES"/>
    <s v="Katy, TX"/>
    <n v="98532"/>
    <n v="43956"/>
    <n v="317.24"/>
    <n v="349.17"/>
    <n v="10.064935064935066"/>
    <n v="2026.91"/>
    <n v="1714.2"/>
    <n v="-15.42791737176293"/>
    <n v="0"/>
    <n v="0"/>
    <n v="0"/>
  </r>
  <r>
    <x v="0"/>
    <x v="3"/>
    <s v="ROBISONES"/>
    <s v="Cypress, TX"/>
    <n v="93882"/>
    <n v="43952"/>
    <n v="546.312"/>
    <n v="471.74"/>
    <n v="-13.650075414781304"/>
    <n v="3337.9"/>
    <n v="2143.96"/>
    <n v="-35.76919620120435"/>
    <n v="0"/>
    <n v="0"/>
    <n v="0"/>
  </r>
  <r>
    <x v="2"/>
    <x v="3"/>
    <s v="SALYARDSMS"/>
    <s v="Cypress, TX"/>
    <n v="242116"/>
    <n v="43952"/>
    <n v="996.01"/>
    <n v="971.29"/>
    <n v="-2.481902792140641"/>
    <n v="5964.79"/>
    <n v="4266.89"/>
    <n v="-28.465377657889043"/>
    <n v="0"/>
    <n v="0"/>
    <n v="0"/>
  </r>
  <r>
    <x v="0"/>
    <x v="3"/>
    <s v="SAMPSONES"/>
    <s v="Cypress, TX"/>
    <n v="96096"/>
    <n v="36526"/>
    <n v="417.15"/>
    <n v="447.02"/>
    <n v="7.1604938271604945"/>
    <n v="2648.22"/>
    <n v="2068.83"/>
    <n v="-21.87846931146204"/>
    <n v="0"/>
    <n v="0"/>
    <n v="0"/>
  </r>
  <r>
    <x v="3"/>
    <x v="3"/>
    <s v="SATELLITECOLDFOODWAREHOUSE"/>
    <s v="Cypress, TX"/>
    <n v="22020"/>
    <n v="36526"/>
    <n v="30.9"/>
    <n v="53.56"/>
    <n v="73.33333333333333"/>
    <n v="422.14"/>
    <n v="450.7"/>
    <n v="6.765528023878334"/>
    <n v="0"/>
    <n v="0"/>
    <n v="0"/>
  </r>
  <r>
    <x v="0"/>
    <x v="3"/>
    <s v="SHERIDANES"/>
    <s v="Katy, TX"/>
    <n v="91338"/>
    <n v="36526"/>
    <n v="226.70299999999995"/>
    <n v="261.62"/>
    <n v="15.402089959109519"/>
    <n v="1547.15"/>
    <n v="1400.22"/>
    <n v="-9.496816727531266"/>
    <n v="0"/>
    <n v="0"/>
    <n v="0"/>
  </r>
  <r>
    <x v="2"/>
    <x v="3"/>
    <s v="SMITHMS"/>
    <s v="Cypress, TX"/>
    <n v="230087"/>
    <n v="43952"/>
    <n v="1132.6909999999998"/>
    <n v="1159.78"/>
    <n v="2.3915613349095284"/>
    <n v="6663.21"/>
    <n v="5026.39"/>
    <n v="-24.565036971669812"/>
    <n v="0"/>
    <n v="0"/>
    <n v="0"/>
  </r>
  <r>
    <x v="2"/>
    <x v="3"/>
    <s v="SPILLANEMS"/>
    <s v="Cypress, TX"/>
    <n v="235889"/>
    <n v="36526"/>
    <n v="3828.51"/>
    <n v="3000.39"/>
    <n v="-21.63034705407587"/>
    <n v="20269.51"/>
    <n v="12768.15"/>
    <n v="-37.00809738370587"/>
    <n v="0"/>
    <n v="0"/>
    <n v="0"/>
  </r>
  <r>
    <x v="0"/>
    <x v="3"/>
    <s v="SWENKEES"/>
    <s v="Cypress, TX"/>
    <n v="107914"/>
    <n v="36526"/>
    <n v="454.95099999999996"/>
    <n v="417.15"/>
    <n v="-8.30880688249943"/>
    <n v="2901.74"/>
    <n v="2136.96"/>
    <n v="-26.35591059157609"/>
    <n v="0"/>
    <n v="0"/>
    <n v="0"/>
  </r>
  <r>
    <x v="3"/>
    <x v="3"/>
    <s v="TELGETRANS"/>
    <s v="Cypress, TX"/>
    <n v="19649"/>
    <n v="36526"/>
    <n v="397.992"/>
    <n v="297.67"/>
    <n v="-25.20703933747413"/>
    <n v="2467.09"/>
    <n v="1533.93"/>
    <n v="-37.82431933978898"/>
    <n v="0"/>
    <n v="0"/>
    <n v="0"/>
  </r>
  <r>
    <x v="2"/>
    <x v="3"/>
    <s v="THORNTONMS"/>
    <s v="Katy, TX"/>
    <n v="194432"/>
    <n v="36526"/>
    <n v="1406.98"/>
    <n v="1361.66"/>
    <n v="-3.22108345534407"/>
    <n v="10139.31"/>
    <n v="5909.1"/>
    <n v="-41.72088633250191"/>
    <n v="0"/>
    <n v="0"/>
    <n v="0"/>
  </r>
  <r>
    <x v="0"/>
    <x v="3"/>
    <s v="TIPPSES"/>
    <s v="Houston, TX"/>
    <n v="101727"/>
    <n v="36526"/>
    <n v="707.816"/>
    <n v="593.28"/>
    <n v="-16.18160651920839"/>
    <n v="4257.85"/>
    <n v="2792.13"/>
    <n v="-34.42394635790364"/>
    <n v="0"/>
    <n v="0"/>
    <n v="0"/>
  </r>
  <r>
    <x v="2"/>
    <x v="3"/>
    <s v="TRUITTMS"/>
    <s v="Houston, TX"/>
    <n v="208340"/>
    <n v="36526"/>
    <n v="1055.4409999999998"/>
    <n v="1241.15"/>
    <n v="17.59539377378746"/>
    <n v="6134.79"/>
    <n v="5118.66"/>
    <n v="-16.563403148274023"/>
    <n v="0"/>
    <n v="0"/>
    <n v="0"/>
  </r>
  <r>
    <x v="0"/>
    <x v="3"/>
    <s v="WALKERES"/>
    <s v="Katy, TX"/>
    <n v="98490"/>
    <n v="36526"/>
    <n v="350.715"/>
    <n v="445.99"/>
    <n v="27.165932452276067"/>
    <n v="2231.65"/>
    <n v="1994.6"/>
    <n v="-10.622185378531581"/>
    <n v="0"/>
    <n v="0"/>
    <n v="0"/>
  </r>
  <r>
    <x v="0"/>
    <x v="3"/>
    <s v="WARNERES"/>
    <s v="Cypress, TX"/>
    <n v="99987"/>
    <n v="36526"/>
    <n v="306.631"/>
    <n v="468.65"/>
    <n v="52.838427947598255"/>
    <n v="1922.33"/>
    <n v="2097.44"/>
    <n v="9.109258035821112"/>
    <n v="0"/>
    <n v="0"/>
    <n v="0"/>
  </r>
  <r>
    <x v="2"/>
    <x v="3"/>
    <s v="WATKINSMS"/>
    <s v="Houston, TX"/>
    <n v="217165"/>
    <n v="36526"/>
    <n v="2192.458"/>
    <n v="2722.29"/>
    <n v="24.16611857558958"/>
    <n v="12526.11"/>
    <n v="10109.74"/>
    <n v="-19.290665657574458"/>
    <n v="0"/>
    <n v="0"/>
    <n v="0"/>
  </r>
  <r>
    <x v="0"/>
    <x v="3"/>
    <s v="WELLSES"/>
    <s v="Cypress, TX"/>
    <n v="122878"/>
    <n v="36526"/>
    <n v="1420.37"/>
    <n v="5272.57"/>
    <n v="271.21102248005803"/>
    <n v="5264.92"/>
    <n v="17413.63"/>
    <n v="230.74823549075768"/>
    <n v="0"/>
    <n v="0"/>
    <n v="0"/>
  </r>
  <r>
    <x v="3"/>
    <x v="3"/>
    <s v="WESTGREENTRANS"/>
    <s v="Cypress, TX"/>
    <n v="45340"/>
    <n v="36526"/>
    <n v="705.035"/>
    <n v="1052.66"/>
    <n v="49.30606281957634"/>
    <n v="3994.92"/>
    <n v="4084.19"/>
    <n v="2.234587926666867"/>
    <n v="0"/>
    <n v="0"/>
    <n v="0"/>
  </r>
  <r>
    <x v="0"/>
    <x v="3"/>
    <s v="WILLBERNES"/>
    <s v="Houston, TX"/>
    <n v="89993"/>
    <n v="36526"/>
    <n v="331.24800000000005"/>
    <n v="342.99"/>
    <n v="3.5447761194029757"/>
    <n v="2142.53"/>
    <n v="1691.22"/>
    <n v="-21.064349157304683"/>
    <n v="0"/>
    <n v="0"/>
    <n v="0"/>
  </r>
  <r>
    <x v="0"/>
    <x v="3"/>
    <s v="WILSONES"/>
    <s v="Houston, TX"/>
    <n v="84992"/>
    <n v="36526"/>
    <n v="296.228"/>
    <n v="492.34"/>
    <n v="66.20305980528511"/>
    <n v="1938.18"/>
    <n v="2148.58"/>
    <n v="10.855544892631231"/>
    <n v="0"/>
    <n v="0"/>
    <n v="0"/>
  </r>
  <r>
    <x v="1"/>
    <x v="3"/>
    <s v="WINDFERNANNEX"/>
    <s v="Houston, TX"/>
    <n v="41975"/>
    <n v="36526"/>
    <n v="4366.17"/>
    <n v="3103.39"/>
    <n v="-28.921915546119365"/>
    <n v="23092.26"/>
    <n v="13588.43"/>
    <n v="-41.15591111480643"/>
    <n v="0"/>
    <n v="0"/>
    <n v="0"/>
  </r>
  <r>
    <x v="1"/>
    <x v="3"/>
    <s v="WINDFERNHS"/>
    <s v="Houston, TX"/>
    <n v="50022"/>
    <n v="36526"/>
    <n v="159.54699999999997"/>
    <n v="170.98"/>
    <n v="7.165913492575876"/>
    <n v="1132.33"/>
    <n v="869.41"/>
    <n v="-23.219379509506947"/>
    <n v="0"/>
    <n v="0"/>
    <n v="0"/>
  </r>
  <r>
    <x v="0"/>
    <x v="3"/>
    <s v="WOODARDES"/>
    <s v="Cypress, TX"/>
    <n v="115438"/>
    <n v="36526"/>
    <n v="367.09200000000004"/>
    <n v="345.05"/>
    <n v="-6.004489337822682"/>
    <n v="2304.23"/>
    <n v="1664.03"/>
    <n v="-27.783684788410877"/>
    <n v="0"/>
    <n v="0"/>
    <n v="0"/>
  </r>
  <r>
    <x v="0"/>
    <x v="3"/>
    <s v="YEAGERES"/>
    <s v="Houston, TX"/>
    <n v="81794"/>
    <n v="36526"/>
    <n v="914.434"/>
    <n v="1032.06"/>
    <n v="12.86325749042578"/>
    <n v="5500.19"/>
    <n v="4263.15"/>
    <n v="-22.49085940667504"/>
    <n v="0"/>
    <n v="0"/>
    <n v="0"/>
  </r>
  <r>
    <x v="2"/>
    <x v="4"/>
    <s v="ANTHONYMS"/>
    <s v="Cypress, TX"/>
    <n v="244123"/>
    <d v="2000-01-01T00:00:00.000"/>
    <n v="0"/>
    <n v="0"/>
    <n v="0"/>
    <n v="313.64"/>
    <n v="307.65"/>
    <n v="-1.9098329294732814"/>
    <n v="0"/>
    <n v="0"/>
    <n v="0"/>
  </r>
  <r>
    <x v="3"/>
    <x v="4"/>
    <s v="BERRYCENTER"/>
    <s v="Cypress, TX"/>
    <n v="491434"/>
    <d v="2000-01-01T00:00:00.000"/>
    <n v="0"/>
    <n v="0"/>
    <n v="0"/>
    <n v="3288.41"/>
    <n v="3510.81"/>
    <n v="6.76314693119167"/>
    <n v="0"/>
    <n v="0"/>
    <n v="0"/>
  </r>
  <r>
    <x v="2"/>
    <x v="4"/>
    <s v="BLEYLMS"/>
    <s v="Houston, TX"/>
    <n v="229363"/>
    <d v="2000-01-01T00:00:00.000"/>
    <n v="0"/>
    <n v="0"/>
    <n v="0"/>
    <n v="9222"/>
    <n v="9222.72"/>
    <n v="0.007807417046193884"/>
    <n v="0"/>
    <n v="0"/>
    <n v="0"/>
  </r>
  <r>
    <x v="4"/>
    <x v="4"/>
    <s v="CY-LAKESHS"/>
    <s v="Katy, TX"/>
    <n v="520212"/>
    <d v="2000-01-01T00:00:00.000"/>
    <n v="0"/>
    <n v="0"/>
    <n v="0"/>
    <n v="3494.08"/>
    <n v="927.4"/>
    <n v="-73.4579631834417"/>
    <n v="0"/>
    <n v="0"/>
    <n v="0"/>
  </r>
  <r>
    <x v="4"/>
    <x v="4"/>
    <s v="CY-WOODSHS"/>
    <s v="Cypress, TX"/>
    <n v="535914"/>
    <d v="2000-01-01T00:00:00.000"/>
    <n v="0"/>
    <n v="0"/>
    <n v="0"/>
    <n v="600"/>
    <n v="600"/>
    <n v="0"/>
    <n v="0"/>
    <n v="0"/>
    <n v="0"/>
  </r>
  <r>
    <x v="2"/>
    <x v="4"/>
    <s v="DEANMS"/>
    <s v="Houston, TX"/>
    <n v="213572"/>
    <d v="2000-01-01T00:00:00.000"/>
    <n v="0"/>
    <n v="0"/>
    <n v="0"/>
    <n v="1143.21"/>
    <n v="1175.25"/>
    <n v="2.8026346865405305"/>
    <n v="0"/>
    <n v="0"/>
    <n v="0"/>
  </r>
  <r>
    <x v="0"/>
    <x v="4"/>
    <s v="EMERYES"/>
    <s v="Katy, TX"/>
    <n v="95366"/>
    <d v="2000-01-01T00:00:00.000"/>
    <n v="0"/>
    <n v="0"/>
    <n v="0"/>
    <n v="660"/>
    <n v="660"/>
    <n v="0"/>
    <n v="0"/>
    <n v="0"/>
    <n v="0"/>
  </r>
  <r>
    <x v="0"/>
    <x v="4"/>
    <s v="EMMOTTES"/>
    <s v="Houston, TX"/>
    <n v="76544"/>
    <d v="2000-01-01T00:00:00.000"/>
    <n v="0"/>
    <n v="0"/>
    <n v="0"/>
    <n v="167"/>
    <n v="378.7"/>
    <n v="126.76646706586826"/>
    <n v="0"/>
    <n v="0"/>
    <n v="0"/>
  </r>
  <r>
    <x v="0"/>
    <x v="4"/>
    <s v="FARNEYES"/>
    <s v="Cypress, TX"/>
    <n v="95036"/>
    <d v="2000-01-01T00:00:00.000"/>
    <n v="0"/>
    <n v="0"/>
    <n v="0"/>
    <n v="300"/>
    <n v="348.8"/>
    <n v="16.266666666666666"/>
    <n v="0"/>
    <n v="0"/>
    <n v="0"/>
  </r>
  <r>
    <x v="2"/>
    <x v="4"/>
    <s v="GOODSONMS"/>
    <s v="Cypress, TX"/>
    <n v="218801"/>
    <d v="2000-01-01T00:00:00.000"/>
    <n v="0"/>
    <n v="0"/>
    <n v="0"/>
    <n v="300"/>
    <n v="300"/>
    <n v="0"/>
    <n v="0"/>
    <n v="0"/>
    <n v="0"/>
  </r>
  <r>
    <x v="0"/>
    <x v="4"/>
    <s v="HEMMENWAYES"/>
    <s v="Katy, TX"/>
    <n v="96483"/>
    <d v="2000-01-01T00:00:00.000"/>
    <n v="0"/>
    <n v="0"/>
    <n v="0"/>
    <n v="260.62"/>
    <n v="241"/>
    <n v="-7.5282019798940985"/>
    <n v="0"/>
    <n v="0"/>
    <n v="0"/>
  </r>
  <r>
    <x v="0"/>
    <x v="4"/>
    <s v="METCALFES"/>
    <s v="Houston, TX"/>
    <n v="88192"/>
    <d v="2000-01-01T00:00:00.000"/>
    <n v="0"/>
    <n v="0"/>
    <n v="0"/>
    <n v="1949.05"/>
    <n v="1939.38"/>
    <n v="-0.4961391447115261"/>
    <n v="0"/>
    <n v="0"/>
    <n v="0"/>
  </r>
  <r>
    <x v="0"/>
    <x v="4"/>
    <s v="MOOREES"/>
    <s v="Houston, TX"/>
    <n v="83355"/>
    <d v="2000-01-01T00:00:00.000"/>
    <n v="0"/>
    <n v="0"/>
    <n v="0"/>
    <n v="112"/>
    <n v="192"/>
    <n v="71.42857142857143"/>
    <n v="0"/>
    <n v="0"/>
    <n v="0"/>
  </r>
  <r>
    <x v="0"/>
    <x v="4"/>
    <s v="POSTMAES"/>
    <s v="Cypress, TX"/>
    <n v="100456"/>
    <d v="2000-01-01T00:00:00.000"/>
    <n v="0"/>
    <n v="0"/>
    <n v="0"/>
    <n v="163.66"/>
    <n v="96.52"/>
    <n v="-41.024074300378835"/>
    <n v="0"/>
    <n v="0"/>
    <n v="0"/>
  </r>
  <r>
    <x v="0"/>
    <x v="4"/>
    <s v="RENNELLES"/>
    <s v="Cypress, TX"/>
    <n v="110549"/>
    <d v="2000-01-01T00:00:00.000"/>
    <n v="0"/>
    <n v="0"/>
    <n v="0"/>
    <n v="300"/>
    <n v="300"/>
    <n v="0"/>
    <n v="0"/>
    <n v="0"/>
    <n v="0"/>
  </r>
  <r>
    <x v="0"/>
    <x v="4"/>
    <s v="ROBINSONES"/>
    <s v="Katy, TX"/>
    <n v="96996"/>
    <d v="2000-01-01T00:00:00.000"/>
    <n v="0"/>
    <n v="0"/>
    <n v="0"/>
    <n v="288"/>
    <n v="288"/>
    <n v="0"/>
    <n v="0"/>
    <n v="0"/>
    <n v="0"/>
  </r>
  <r>
    <x v="0"/>
    <x v="4"/>
    <s v="ROBISONES"/>
    <s v="Cypress, TX"/>
    <n v="92346"/>
    <d v="2000-01-01T00:00:00.000"/>
    <n v="0"/>
    <n v="0"/>
    <n v="0"/>
    <n v="300"/>
    <n v="300"/>
    <n v="0"/>
    <n v="0"/>
    <n v="0"/>
    <n v="0"/>
  </r>
  <r>
    <x v="3"/>
    <x v="4"/>
    <s v="SATELLITECOLDFOODWAREHOUSE"/>
    <s v="Cypress, TX"/>
    <n v="22020"/>
    <d v="2000-01-01T00:00:00.000"/>
    <n v="0"/>
    <n v="0"/>
    <n v="0"/>
    <n v="300"/>
    <n v="300"/>
    <n v="0"/>
    <n v="0"/>
    <n v="0"/>
    <n v="0"/>
  </r>
  <r>
    <x v="2"/>
    <x v="4"/>
    <s v="SMITHMS"/>
    <s v="Cypress, TX"/>
    <n v="227015"/>
    <d v="2000-01-01T00:00:00.000"/>
    <n v="0"/>
    <n v="0"/>
    <n v="0"/>
    <n v="180"/>
    <n v="180"/>
    <n v="0"/>
    <n v="0"/>
    <n v="0"/>
    <n v="0"/>
  </r>
  <r>
    <x v="2"/>
    <x v="4"/>
    <s v="TRUITTMS"/>
    <s v="Houston, TX"/>
    <n v="208340"/>
    <d v="2000-01-01T00:00:00.000"/>
    <n v="0"/>
    <n v="0"/>
    <n v="0"/>
    <n v="421.98"/>
    <n v="806.28"/>
    <n v="91.07066685624912"/>
    <n v="0"/>
    <n v="0"/>
    <n v="0"/>
  </r>
  <r>
    <x v="0"/>
    <x v="4"/>
    <s v="WARNERES"/>
    <s v="Cypress, TX"/>
    <n v="99987"/>
    <d v="2000-01-01T00:00:00.000"/>
    <n v="0"/>
    <n v="0"/>
    <n v="0"/>
    <n v="191.98"/>
    <n v="192.81"/>
    <n v="0.4323367017397646"/>
    <n v="0"/>
    <n v="0"/>
    <n v="0"/>
  </r>
</pivotCacheRecord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3.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3:A133" firstHeaderRow="1" firstDataRow="1" firstDataCol="1" rowPageCount="1" colPageCount="1"/>
  <pivotFields count="15">
    <pivotField axis="axisPage" showAll="0" multipleItemSelectionAllowed="1">
      <items count="7">
        <item x="3"/>
        <item x="0"/>
        <item x="4"/>
        <item x="2"/>
        <item x="1"/>
        <item x="5"/>
        <item t="default"/>
      </items>
    </pivotField>
    <pivotField showAll="0"/>
    <pivotField axis="axisRow" showAll="0">
      <items count="130">
        <item x="0"/>
        <item x="1"/>
        <item x="2"/>
        <item x="3"/>
        <item x="4"/>
        <item x="5"/>
        <item x="6"/>
        <item x="7"/>
        <item x="8"/>
        <item x="9"/>
        <item x="10"/>
        <item x="11"/>
        <item x="12"/>
        <item x="13"/>
        <item x="14"/>
        <item x="15"/>
        <item x="16"/>
        <item x="17"/>
        <item x="18"/>
        <item x="19"/>
        <item x="20"/>
        <item x="21"/>
        <item x="125"/>
        <item x="22"/>
        <item x="23"/>
        <item x="24"/>
        <item x="126"/>
        <item x="25"/>
        <item x="26"/>
        <item x="27"/>
        <item x="28"/>
        <item x="29"/>
        <item x="30"/>
        <item x="127"/>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t="grand">
      <x/>
    </i>
  </rowItems>
  <colItems count="1">
    <i/>
  </colItems>
  <pageFields count="1">
    <pageField fld="0" hier="-1"/>
  </page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6" cacheId="1"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E3:F9" firstHeaderRow="1" firstDataRow="1" firstDataCol="1" rowPageCount="1" colPageCount="1"/>
  <pivotFields count="15">
    <pivotField axis="axisRow" showAll="0">
      <items count="10">
        <item x="3"/>
        <item m="1" x="8"/>
        <item m="1" x="7"/>
        <item m="1" x="6"/>
        <item m="1" x="5"/>
        <item x="0"/>
        <item x="1"/>
        <item x="2"/>
        <item x="4"/>
        <item t="default"/>
      </items>
    </pivotField>
    <pivotField axis="axisPage" showAll="0">
      <items count="2">
        <item x="0"/>
        <item t="default"/>
      </items>
    </pivotField>
    <pivotField showAll="0"/>
    <pivotField showAll="0"/>
    <pivotField dataField="1" showAll="0"/>
    <pivotField showAll="0"/>
    <pivotField showAll="0"/>
    <pivotField showAll="0" defaultSubtotal="0"/>
    <pivotField showAll="0"/>
    <pivotField showAll="0"/>
    <pivotField showAll="0"/>
    <pivotField showAll="0"/>
    <pivotField showAll="0"/>
    <pivotField showAll="0"/>
    <pivotField showAll="0"/>
  </pivotFields>
  <rowFields count="1">
    <field x="0"/>
  </rowFields>
  <rowItems count="6">
    <i>
      <x/>
    </i>
    <i>
      <x v="5"/>
    </i>
    <i>
      <x v="6"/>
    </i>
    <i>
      <x v="7"/>
    </i>
    <i>
      <x v="8"/>
    </i>
    <i t="grand">
      <x/>
    </i>
  </rowItems>
  <colItems count="1">
    <i/>
  </colItems>
  <pageFields count="1">
    <pageField fld="1" hier="-1"/>
  </pageFields>
  <dataFields count="1">
    <dataField name="Average of Area" fld="4" subtotal="average" baseField="0" baseItem="5" numFmtId="165"/>
  </dataFields>
  <formats count="5">
    <format dxfId="593">
      <pivotArea outline="0" fieldPosition="0" collapsedLevelsAreSubtotals="1"/>
    </format>
    <format dxfId="592">
      <pivotArea outline="0" fieldPosition="0" collapsedLevelsAreSubtotals="1"/>
    </format>
    <format dxfId="591">
      <pivotArea outline="0" fieldPosition="0" collapsedLevelsAreSubtotals="1"/>
    </format>
    <format dxfId="590">
      <pivotArea outline="0" fieldPosition="0" collapsedLevelsAreSubtotals="1"/>
    </format>
    <format dxfId="589">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3:B9" firstHeaderRow="1" firstDataRow="1" firstDataCol="1" rowPageCount="1" colPageCount="1"/>
  <pivotFields count="15">
    <pivotField axis="axisRow" showAll="0">
      <items count="11">
        <item x="3"/>
        <item h="1" m="1" x="9"/>
        <item h="1" m="1" x="8"/>
        <item h="1" m="1" x="6"/>
        <item h="1" m="1" x="5"/>
        <item h="1" m="1" x="7"/>
        <item x="0"/>
        <item x="4"/>
        <item x="2"/>
        <item x="1"/>
        <item t="default"/>
      </items>
    </pivotField>
    <pivotField axis="axisPage" showAll="0" multipleItemSelectionAllowed="1">
      <items count="6">
        <item x="0"/>
        <item x="4"/>
        <item x="2"/>
        <item x="3"/>
        <item x="1"/>
        <item t="default"/>
      </items>
    </pivotField>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s>
  <rowFields count="1">
    <field x="0"/>
  </rowFields>
  <rowItems count="6">
    <i>
      <x/>
    </i>
    <i>
      <x v="6"/>
    </i>
    <i>
      <x v="7"/>
    </i>
    <i>
      <x v="8"/>
    </i>
    <i>
      <x v="9"/>
    </i>
    <i t="grand">
      <x/>
    </i>
  </rowItems>
  <colItems count="1">
    <i/>
  </colItems>
  <pageFields count="1">
    <pageField fld="1" hier="-1"/>
  </pageFields>
  <dataFields count="1">
    <dataField name="Sum of Cost" fld="10" baseField="0" baseItem="4" numFmtId="164"/>
  </dataFields>
  <formats count="4">
    <format dxfId="597">
      <pivotArea outline="0" fieldPosition="0" collapsedLevelsAreSubtotals="1"/>
    </format>
    <format dxfId="596">
      <pivotArea outline="0" fieldPosition="0" collapsedLevelsAreSubtotals="1"/>
    </format>
    <format dxfId="595">
      <pivotArea outline="0" fieldPosition="0" collapsedLevelsAreSubtotals="1"/>
    </format>
    <format dxfId="594">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6" cacheId="1"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U9:AV15" firstHeaderRow="1" firstDataRow="1" firstDataCol="1" rowPageCount="1" colPageCount="1"/>
  <pivotFields count="15">
    <pivotField axis="axisRow" showAll="0">
      <items count="10">
        <item x="3"/>
        <item m="1" x="8"/>
        <item m="1" x="7"/>
        <item m="1" x="6"/>
        <item m="1" x="5"/>
        <item x="0"/>
        <item x="1"/>
        <item x="2"/>
        <item x="4"/>
        <item t="default"/>
      </items>
    </pivotField>
    <pivotField axis="axisPage" showAll="0">
      <items count="2">
        <item x="0"/>
        <item t="default"/>
      </items>
    </pivotField>
    <pivotField showAll="0"/>
    <pivotField showAll="0"/>
    <pivotField dataField="1" showAll="0"/>
    <pivotField showAll="0"/>
    <pivotField showAll="0"/>
    <pivotField showAll="0" defaultSubtotal="0"/>
    <pivotField showAll="0"/>
    <pivotField showAll="0"/>
    <pivotField showAll="0"/>
    <pivotField showAll="0"/>
    <pivotField showAll="0"/>
    <pivotField showAll="0"/>
    <pivotField showAll="0"/>
  </pivotFields>
  <rowFields count="1">
    <field x="0"/>
  </rowFields>
  <rowItems count="6">
    <i>
      <x/>
    </i>
    <i>
      <x v="5"/>
    </i>
    <i>
      <x v="6"/>
    </i>
    <i>
      <x v="7"/>
    </i>
    <i>
      <x v="8"/>
    </i>
    <i t="grand">
      <x/>
    </i>
  </rowItems>
  <colItems count="1">
    <i/>
  </colItems>
  <pageFields count="1">
    <pageField fld="1" hier="-1"/>
  </pageFields>
  <dataFields count="1">
    <dataField name="Sum of Area" fld="4" baseField="0" baseItem="1" numFmtId="165"/>
  </dataFields>
  <formats count="32">
    <format dxfId="523">
      <pivotArea outline="0" fieldPosition="0" collapsedLevelsAreSubtotals="1"/>
    </format>
    <format dxfId="522">
      <pivotArea outline="0" fieldPosition="0" collapsedLevelsAreSubtotals="1"/>
    </format>
    <format dxfId="521">
      <pivotArea outline="0" fieldPosition="0" collapsedLevelsAreSubtotals="1"/>
    </format>
    <format dxfId="520">
      <pivotArea outline="0" fieldPosition="0" collapsedLevelsAreSubtotals="1"/>
    </format>
    <format dxfId="519">
      <pivotArea outline="0" fieldPosition="0" collapsedLevelsAreSubtotals="1"/>
    </format>
    <format dxfId="518">
      <pivotArea outline="0" fieldPosition="0" dataOnly="0" type="all"/>
    </format>
    <format dxfId="517">
      <pivotArea outline="0" fieldPosition="0" collapsedLevelsAreSubtotals="1"/>
    </format>
    <format dxfId="516">
      <pivotArea outline="0" fieldPosition="0" axis="axisRow" dataOnly="0" field="0" labelOnly="1" type="button"/>
    </format>
    <format dxfId="515">
      <pivotArea outline="0" fieldPosition="0" axis="axisValues" dataOnly="0" labelOnly="1"/>
    </format>
    <format dxfId="514">
      <pivotArea outline="0" fieldPosition="0" dataOnly="0" labelOnly="1">
        <references count="1">
          <reference field="0" count="0"/>
        </references>
      </pivotArea>
    </format>
    <format dxfId="513">
      <pivotArea outline="0" fieldPosition="0" dataOnly="0" grandRow="1" labelOnly="1"/>
    </format>
    <format dxfId="512">
      <pivotArea outline="0" fieldPosition="0" axis="axisValues" dataOnly="0" labelOnly="1"/>
    </format>
    <format dxfId="511">
      <pivotArea outline="0" fieldPosition="0" dataOnly="0" type="all"/>
    </format>
    <format dxfId="510">
      <pivotArea outline="0" fieldPosition="0" collapsedLevelsAreSubtotals="1"/>
    </format>
    <format dxfId="509">
      <pivotArea outline="0" fieldPosition="0" axis="axisRow" dataOnly="0" field="0" labelOnly="1" type="button"/>
    </format>
    <format dxfId="508">
      <pivotArea outline="0" fieldPosition="0" axis="axisValues" dataOnly="0" labelOnly="1"/>
    </format>
    <format dxfId="507">
      <pivotArea outline="0" fieldPosition="0" dataOnly="0" labelOnly="1">
        <references count="1">
          <reference field="0" count="0"/>
        </references>
      </pivotArea>
    </format>
    <format dxfId="506">
      <pivotArea outline="0" fieldPosition="0" dataOnly="0" grandRow="1" labelOnly="1"/>
    </format>
    <format dxfId="505">
      <pivotArea outline="0" fieldPosition="0" axis="axisValues" dataOnly="0" labelOnly="1"/>
    </format>
    <format dxfId="504">
      <pivotArea outline="0" fieldPosition="0" dataOnly="0" type="all"/>
    </format>
    <format dxfId="503">
      <pivotArea outline="0" fieldPosition="0" collapsedLevelsAreSubtotals="1"/>
    </format>
    <format dxfId="502">
      <pivotArea outline="0" fieldPosition="0" axis="axisRow" dataOnly="0" field="0" labelOnly="1" type="button"/>
    </format>
    <format dxfId="501">
      <pivotArea outline="0" fieldPosition="0" axis="axisValues" dataOnly="0" labelOnly="1"/>
    </format>
    <format dxfId="500">
      <pivotArea outline="0" fieldPosition="0" dataOnly="0" labelOnly="1">
        <references count="1">
          <reference field="0" count="0"/>
        </references>
      </pivotArea>
    </format>
    <format dxfId="499">
      <pivotArea outline="0" fieldPosition="0" dataOnly="0" grandRow="1" labelOnly="1"/>
    </format>
    <format dxfId="498">
      <pivotArea outline="0" fieldPosition="0" axis="axisValues" dataOnly="0" labelOnly="1"/>
    </format>
    <format dxfId="497">
      <pivotArea outline="0" fieldPosition="0" collapsedLevelsAreSubtotals="1"/>
    </format>
    <format dxfId="496">
      <pivotArea outline="0" fieldPosition="0" dataOnly="0" labelOnly="1">
        <references count="1">
          <reference field="0" count="0"/>
        </references>
      </pivotArea>
    </format>
    <format dxfId="495">
      <pivotArea outline="0" fieldPosition="0" dataOnly="0" grandRow="1" labelOnly="1"/>
    </format>
    <format dxfId="494">
      <pivotArea outline="0" fieldPosition="0" collapsedLevelsAreSubtotals="1"/>
    </format>
    <format dxfId="493">
      <pivotArea outline="0" fieldPosition="0" dataOnly="0" labelOnly="1">
        <references count="1">
          <reference field="0" count="0"/>
        </references>
      </pivotArea>
    </format>
    <format dxfId="492">
      <pivotArea outline="0" fieldPosition="0" dataOnly="0" grandRow="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7.xml><?xml version="1.0" encoding="utf-8"?>
<pivotTableDefinition xmlns="http://schemas.openxmlformats.org/spreadsheetml/2006/main" name="PivotTable1" cacheId="2" applyNumberFormats="0" applyBorderFormats="0" applyFontFormats="0" applyPatternFormats="0" applyAlignmentFormats="0" applyWidthHeightFormats="1" dataCaption="Values" showMissing="1" preserveFormatting="1" useAutoFormatting="1" itemPrintTitles="1" compactData="0" createdVersion="6" updatedVersion="6" indent="0" rowHeaderCaption="Utility" multipleFieldFilters="0" showMemberPropertyTips="1">
  <location ref="AM17:AN23" firstHeaderRow="1" firstDataRow="1" firstDataCol="1"/>
  <pivotFields count="15">
    <pivotField showAll="0"/>
    <pivotField axis="axisRow" showAll="0" multipleItemSelectionAllowed="1">
      <items count="6">
        <item x="0"/>
        <item x="4"/>
        <item x="2"/>
        <item x="3"/>
        <item x="1"/>
        <item t="default"/>
      </items>
    </pivotField>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s>
  <rowFields count="1">
    <field x="1"/>
  </rowFields>
  <rowItems count="6">
    <i>
      <x/>
    </i>
    <i>
      <x v="1"/>
    </i>
    <i>
      <x v="2"/>
    </i>
    <i>
      <x v="3"/>
    </i>
    <i>
      <x v="4"/>
    </i>
    <i t="grand">
      <x/>
    </i>
  </rowItems>
  <colItems count="1">
    <i/>
  </colItems>
  <dataFields count="1">
    <dataField name="Costs" fld="10" baseField="0" baseItem="4" numFmtId="166"/>
  </dataFields>
  <formats count="30">
    <format dxfId="553">
      <pivotArea outline="0" fieldPosition="0" collapsedLevelsAreSubtotals="1"/>
    </format>
    <format dxfId="552">
      <pivotArea outline="0" fieldPosition="0" collapsedLevelsAreSubtotals="1"/>
    </format>
    <format dxfId="551">
      <pivotArea outline="0" fieldPosition="0" collapsedLevelsAreSubtotals="1"/>
    </format>
    <format dxfId="550">
      <pivotArea outline="0" fieldPosition="0" collapsedLevelsAreSubtotals="1"/>
    </format>
    <format dxfId="549">
      <pivotArea outline="0" fieldPosition="0" collapsedLevelsAreSubtotals="1"/>
    </format>
    <format dxfId="548">
      <pivotArea outline="0" fieldPosition="0" collapsedLevelsAreSubtotals="1"/>
    </format>
    <format dxfId="547">
      <pivotArea outline="0" fieldPosition="0" dataOnly="0" labelOnly="1">
        <references count="1">
          <reference field="1" count="0"/>
        </references>
      </pivotArea>
    </format>
    <format dxfId="546">
      <pivotArea outline="0" fieldPosition="0" collapsedLevelsAreSubtotals="1">
        <references count="1">
          <reference field="1" count="0"/>
        </references>
      </pivotArea>
    </format>
    <format dxfId="545">
      <pivotArea outline="0" fieldPosition="0" dataOnly="0" labelOnly="1">
        <references count="1">
          <reference field="1" count="0"/>
        </references>
      </pivotArea>
    </format>
    <format dxfId="544">
      <pivotArea outline="0" fieldPosition="0" dataOnly="0" type="all"/>
    </format>
    <format dxfId="543">
      <pivotArea outline="0" fieldPosition="0" collapsedLevelsAreSubtotals="1"/>
    </format>
    <format dxfId="542">
      <pivotArea outline="0" fieldPosition="0" axis="axisRow" dataOnly="0" field="1" labelOnly="1" type="button"/>
    </format>
    <format dxfId="541">
      <pivotArea outline="0" fieldPosition="0" axis="axisValues" dataOnly="0" labelOnly="1"/>
    </format>
    <format dxfId="540">
      <pivotArea outline="0" fieldPosition="0" dataOnly="0" labelOnly="1">
        <references count="1">
          <reference field="1" count="0"/>
        </references>
      </pivotArea>
    </format>
    <format dxfId="539">
      <pivotArea outline="0" fieldPosition="0" dataOnly="0" grandRow="1" labelOnly="1"/>
    </format>
    <format dxfId="538">
      <pivotArea outline="0" fieldPosition="0" axis="axisValues" dataOnly="0" labelOnly="1"/>
    </format>
    <format dxfId="537">
      <pivotArea outline="0" fieldPosition="0" collapsedLevelsAreSubtotals="1">
        <references count="1">
          <reference field="1" count="0"/>
        </references>
      </pivotArea>
    </format>
    <format dxfId="536">
      <pivotArea outline="0" fieldPosition="0" collapsedLevelsAreSubtotals="1" grandRow="1"/>
    </format>
    <format dxfId="535">
      <pivotArea outline="0" fieldPosition="0" axis="axisValues" dataOnly="0" labelOnly="1"/>
    </format>
    <format dxfId="534">
      <pivotArea outline="0" fieldPosition="0" axis="axisValues" dataOnly="0" labelOnly="1"/>
    </format>
    <format dxfId="533">
      <pivotArea outline="0" fieldPosition="0" axis="axisRow" dataOnly="0" field="1" labelOnly="1" type="button"/>
    </format>
    <format dxfId="532">
      <pivotArea outline="0" fieldPosition="0" collapsedLevelsAreSubtotals="1" grandRow="1"/>
    </format>
    <format dxfId="531">
      <pivotArea outline="0" fieldPosition="0" dataOnly="0" grandRow="1" labelOnly="1"/>
    </format>
    <format dxfId="530">
      <pivotArea outline="0" fieldPosition="0" axis="axisRow" dataOnly="0" field="1" labelOnly="1" type="button"/>
    </format>
    <format dxfId="529">
      <pivotArea outline="0" fieldPosition="0" axis="axisValues" dataOnly="0" labelOnly="1"/>
    </format>
    <format dxfId="528">
      <pivotArea outline="0" fieldPosition="0" axis="axisValues" dataOnly="0" labelOnly="1"/>
    </format>
    <format dxfId="527">
      <pivotArea outline="0" fieldPosition="0" dataOnly="0" grandRow="1" labelOnly="1"/>
    </format>
    <format dxfId="526">
      <pivotArea outline="0" fieldPosition="0" axis="axisRow" dataOnly="0" field="1" labelOnly="1" type="button"/>
    </format>
    <format dxfId="525">
      <pivotArea outline="0" fieldPosition="0" axis="axisValues" dataOnly="0" labelOnly="1"/>
    </format>
    <format dxfId="524">
      <pivotArea outline="0" fieldPosition="0" axis="axisValues" dataOnly="0" labelOnly="1"/>
    </format>
  </formats>
  <pivotTableStyleInfo name="PivotStyleDark1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8.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R9:AS15" firstHeaderRow="1" firstDataRow="1" firstDataCol="1" rowPageCount="1" colPageCount="1"/>
  <pivotFields count="15">
    <pivotField axis="axisRow" showAll="0">
      <items count="11">
        <item x="3"/>
        <item m="1" x="9"/>
        <item m="1" x="8"/>
        <item m="1" x="6"/>
        <item m="1" x="5"/>
        <item h="1" m="1" x="7"/>
        <item x="0"/>
        <item x="1"/>
        <item x="2"/>
        <item x="4"/>
        <item t="default"/>
      </items>
    </pivotField>
    <pivotField axis="axisPage" showAll="0" multipleItemSelectionAllowed="1">
      <items count="6">
        <item x="0"/>
        <item x="4"/>
        <item x="2"/>
        <item x="3"/>
        <item x="1"/>
        <item t="default"/>
      </items>
    </pivotField>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s>
  <rowFields count="1">
    <field x="0"/>
  </rowFields>
  <rowItems count="6">
    <i>
      <x/>
    </i>
    <i>
      <x v="6"/>
    </i>
    <i>
      <x v="7"/>
    </i>
    <i>
      <x v="8"/>
    </i>
    <i>
      <x v="9"/>
    </i>
    <i t="grand">
      <x/>
    </i>
  </rowItems>
  <colItems count="1">
    <i/>
  </colItems>
  <pageFields count="1">
    <pageField fld="1" hier="-1"/>
  </pageFields>
  <dataFields count="1">
    <dataField name="Sum of Cost" fld="10" baseField="0" baseItem="0" numFmtId="166"/>
  </dataFields>
  <formats count="35">
    <format dxfId="588">
      <pivotArea outline="0" fieldPosition="0" collapsedLevelsAreSubtotals="1"/>
    </format>
    <format dxfId="587">
      <pivotArea outline="0" fieldPosition="0" collapsedLevelsAreSubtotals="1"/>
    </format>
    <format dxfId="586">
      <pivotArea outline="0" fieldPosition="0" collapsedLevelsAreSubtotals="1"/>
    </format>
    <format dxfId="585">
      <pivotArea outline="0" fieldPosition="0" collapsedLevelsAreSubtotals="1"/>
    </format>
    <format dxfId="584">
      <pivotArea outline="0" fieldPosition="0" dataOnly="0" type="all"/>
    </format>
    <format dxfId="583">
      <pivotArea outline="0" fieldPosition="0" collapsedLevelsAreSubtotals="1"/>
    </format>
    <format dxfId="582">
      <pivotArea outline="0" fieldPosition="0" axis="axisRow" dataOnly="0" field="0" labelOnly="1" type="button"/>
    </format>
    <format dxfId="581">
      <pivotArea outline="0" fieldPosition="0" axis="axisValues" dataOnly="0" labelOnly="1"/>
    </format>
    <format dxfId="580">
      <pivotArea outline="0" fieldPosition="0" dataOnly="0" labelOnly="1">
        <references count="1">
          <reference field="0" count="0"/>
        </references>
      </pivotArea>
    </format>
    <format dxfId="579">
      <pivotArea outline="0" fieldPosition="0" dataOnly="0" grandRow="1" labelOnly="1"/>
    </format>
    <format dxfId="578">
      <pivotArea outline="0" fieldPosition="0" axis="axisValues" dataOnly="0" labelOnly="1"/>
    </format>
    <format dxfId="577">
      <pivotArea outline="0" fieldPosition="0" dataOnly="0" type="all"/>
    </format>
    <format dxfId="576">
      <pivotArea outline="0" fieldPosition="0" collapsedLevelsAreSubtotals="1"/>
    </format>
    <format dxfId="575">
      <pivotArea outline="0" fieldPosition="0" axis="axisRow" dataOnly="0" field="0" labelOnly="1" type="button"/>
    </format>
    <format dxfId="574">
      <pivotArea outline="0" fieldPosition="0" axis="axisValues" dataOnly="0" labelOnly="1"/>
    </format>
    <format dxfId="573">
      <pivotArea outline="0" fieldPosition="0" dataOnly="0" labelOnly="1">
        <references count="1">
          <reference field="0" count="0"/>
        </references>
      </pivotArea>
    </format>
    <format dxfId="572">
      <pivotArea outline="0" fieldPosition="0" dataOnly="0" grandRow="1" labelOnly="1"/>
    </format>
    <format dxfId="571">
      <pivotArea outline="0" fieldPosition="0" axis="axisValues" dataOnly="0" labelOnly="1"/>
    </format>
    <format dxfId="570">
      <pivotArea outline="0" fieldPosition="0" dataOnly="0" type="all"/>
    </format>
    <format dxfId="569">
      <pivotArea outline="0" fieldPosition="0" collapsedLevelsAreSubtotals="1"/>
    </format>
    <format dxfId="568">
      <pivotArea outline="0" fieldPosition="0" axis="axisRow" dataOnly="0" field="0" labelOnly="1" type="button"/>
    </format>
    <format dxfId="567">
      <pivotArea outline="0" fieldPosition="0" axis="axisValues" dataOnly="0" labelOnly="1"/>
    </format>
    <format dxfId="566">
      <pivotArea outline="0" fieldPosition="0" dataOnly="0" labelOnly="1">
        <references count="1">
          <reference field="0" count="0"/>
        </references>
      </pivotArea>
    </format>
    <format dxfId="565">
      <pivotArea outline="0" fieldPosition="0" dataOnly="0" grandRow="1" labelOnly="1"/>
    </format>
    <format dxfId="564">
      <pivotArea outline="0" fieldPosition="0" axis="axisValues" dataOnly="0" labelOnly="1"/>
    </format>
    <format dxfId="563">
      <pivotArea outline="0" fieldPosition="0" collapsedLevelsAreSubtotals="1"/>
    </format>
    <format dxfId="562">
      <pivotArea outline="0" fieldPosition="0" dataOnly="0" labelOnly="1">
        <references count="1">
          <reference field="0" count="0"/>
        </references>
      </pivotArea>
    </format>
    <format dxfId="561">
      <pivotArea outline="0" fieldPosition="0" dataOnly="0" grandRow="1" labelOnly="1"/>
    </format>
    <format dxfId="560">
      <pivotArea outline="0" fieldPosition="0" collapsedLevelsAreSubtotals="1"/>
    </format>
    <format dxfId="559">
      <pivotArea outline="0" fieldPosition="0" dataOnly="0" labelOnly="1">
        <references count="1">
          <reference field="0" count="0"/>
        </references>
      </pivotArea>
    </format>
    <format dxfId="558">
      <pivotArea outline="0" fieldPosition="0" dataOnly="0" grandRow="1" labelOnly="1"/>
    </format>
    <format dxfId="557">
      <pivotArea outline="0" fieldPosition="0" collapsedLevelsAreSubtotals="1" grandRow="1"/>
    </format>
    <format dxfId="556">
      <pivotArea outline="0" fieldPosition="0" collapsedLevelsAreSubtotals="1" grandRow="1"/>
    </format>
    <format dxfId="555">
      <pivotArea outline="0" fieldPosition="0" collapsedLevelsAreSubtotals="1"/>
    </format>
    <format dxfId="554">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D32:F38" firstHeaderRow="0" firstDataRow="1" firstDataCol="1" rowPageCount="1" colPageCount="1"/>
  <pivotFields count="15">
    <pivotField axis="axisRow" showAll="0" sortType="ascending">
      <items count="11">
        <item x="3"/>
        <item x="0"/>
        <item m="1" x="9"/>
        <item x="4"/>
        <item m="1" x="8"/>
        <item x="2"/>
        <item m="1" x="6"/>
        <item x="1"/>
        <item m="1" x="5"/>
        <item m="1" x="7"/>
        <item t="default"/>
      </items>
    </pivotField>
    <pivotField axis="axisPage" showAll="0" multipleItemSelectionAllowed="1">
      <items count="6">
        <item x="0"/>
        <item h="1" x="4"/>
        <item h="1" x="2"/>
        <item x="3"/>
        <item h="1" x="1"/>
        <item t="default"/>
      </items>
    </pivotField>
    <pivotField showAll="0"/>
    <pivotField showAll="0"/>
    <pivotField dataField="1" showAll="0"/>
    <pivotField showAll="0"/>
    <pivotField showAll="0"/>
    <pivotField dataField="1" showAll="0" defaultSubtotal="0"/>
    <pivotField showAll="0"/>
    <pivotField showAll="0"/>
    <pivotField showAll="0"/>
    <pivotField showAll="0"/>
    <pivotField showAll="0"/>
    <pivotField showAll="0"/>
    <pivotField showAll="0"/>
  </pivotFields>
  <rowFields count="1">
    <field x="0"/>
  </rowFields>
  <rowItems count="6">
    <i>
      <x/>
    </i>
    <i>
      <x v="1"/>
    </i>
    <i>
      <x v="3"/>
    </i>
    <i>
      <x v="5"/>
    </i>
    <i>
      <x v="7"/>
    </i>
    <i t="grand">
      <x/>
    </i>
  </rowItems>
  <colFields count="1">
    <field x="-2"/>
  </colFields>
  <colItems count="2">
    <i>
      <x/>
    </i>
    <i i="1">
      <x v="1"/>
    </i>
  </colItems>
  <pageFields count="1">
    <pageField fld="1" hier="-1"/>
  </pageFields>
  <dataFields count="2">
    <dataField name="Sum of Area" fld="4" baseField="0" baseItem="1" numFmtId="165"/>
    <dataField name="Sum of Mmbtus" fld="7" baseField="0" baseItem="0"/>
  </dataFields>
  <formats count="82">
    <format dxfId="327">
      <pivotArea outline="0" fieldPosition="0" collapsedLevelsAreSubtotals="1"/>
    </format>
    <format dxfId="326">
      <pivotArea outline="0" fieldPosition="0" collapsedLevelsAreSubtotals="1"/>
    </format>
    <format dxfId="325">
      <pivotArea outline="0" fieldPosition="0" collapsedLevelsAreSubtotals="1"/>
    </format>
    <format dxfId="324">
      <pivotArea outline="0" fieldPosition="0" collapsedLevelsAreSubtotals="1"/>
    </format>
    <format dxfId="323">
      <pivotArea outline="0" fieldPosition="0" collapsedLevelsAreSubtotals="1"/>
    </format>
    <format dxfId="322">
      <pivotArea outline="0" fieldPosition="0" dataOnly="0" type="all"/>
    </format>
    <format dxfId="321">
      <pivotArea outline="0" fieldPosition="0" collapsedLevelsAreSubtotals="1"/>
    </format>
    <format dxfId="320">
      <pivotArea outline="0" fieldPosition="0" axis="axisRow" dataOnly="0" field="0" labelOnly="1" type="button"/>
    </format>
    <format dxfId="319">
      <pivotArea outline="0" fieldPosition="0" axis="axisValues" dataOnly="0" labelOnly="1"/>
    </format>
    <format dxfId="318">
      <pivotArea outline="0" fieldPosition="0" dataOnly="0" labelOnly="1">
        <references count="1">
          <reference field="0" count="0"/>
        </references>
      </pivotArea>
    </format>
    <format dxfId="317">
      <pivotArea outline="0" fieldPosition="0" dataOnly="0" grandRow="1" labelOnly="1"/>
    </format>
    <format dxfId="316">
      <pivotArea outline="0" fieldPosition="0" axis="axisValues" dataOnly="0" labelOnly="1"/>
    </format>
    <format dxfId="315">
      <pivotArea outline="0" fieldPosition="0" dataOnly="0" type="all"/>
    </format>
    <format dxfId="314">
      <pivotArea outline="0" fieldPosition="0" collapsedLevelsAreSubtotals="1"/>
    </format>
    <format dxfId="313">
      <pivotArea outline="0" fieldPosition="0" axis="axisRow" dataOnly="0" field="0" labelOnly="1" type="button"/>
    </format>
    <format dxfId="312">
      <pivotArea outline="0" fieldPosition="0" axis="axisValues" dataOnly="0" labelOnly="1"/>
    </format>
    <format dxfId="311">
      <pivotArea outline="0" fieldPosition="0" dataOnly="0" labelOnly="1">
        <references count="1">
          <reference field="0" count="0"/>
        </references>
      </pivotArea>
    </format>
    <format dxfId="310">
      <pivotArea outline="0" fieldPosition="0" dataOnly="0" grandRow="1" labelOnly="1"/>
    </format>
    <format dxfId="309">
      <pivotArea outline="0" fieldPosition="0" axis="axisValues" dataOnly="0" labelOnly="1"/>
    </format>
    <format dxfId="308">
      <pivotArea outline="0" fieldPosition="0" dataOnly="0" type="all"/>
    </format>
    <format dxfId="307">
      <pivotArea outline="0" fieldPosition="0" collapsedLevelsAreSubtotals="1"/>
    </format>
    <format dxfId="306">
      <pivotArea outline="0" fieldPosition="0" axis="axisRow" dataOnly="0" field="0" labelOnly="1" type="button"/>
    </format>
    <format dxfId="305">
      <pivotArea outline="0" fieldPosition="0" axis="axisValues" dataOnly="0" labelOnly="1"/>
    </format>
    <format dxfId="304">
      <pivotArea outline="0" fieldPosition="0" dataOnly="0" labelOnly="1">
        <references count="1">
          <reference field="0" count="0"/>
        </references>
      </pivotArea>
    </format>
    <format dxfId="303">
      <pivotArea outline="0" fieldPosition="0" dataOnly="0" grandRow="1" labelOnly="1"/>
    </format>
    <format dxfId="302">
      <pivotArea outline="0" fieldPosition="0" axis="axisValues" dataOnly="0" labelOnly="1"/>
    </format>
    <format dxfId="301">
      <pivotArea outline="0" fieldPosition="0" collapsedLevelsAreSubtotals="1"/>
    </format>
    <format dxfId="300">
      <pivotArea outline="0" fieldPosition="0" dataOnly="0" labelOnly="1">
        <references count="1">
          <reference field="0" count="0"/>
        </references>
      </pivotArea>
    </format>
    <format dxfId="299">
      <pivotArea outline="0" fieldPosition="0" dataOnly="0" grandRow="1" labelOnly="1"/>
    </format>
    <format dxfId="298">
      <pivotArea outline="0" fieldPosition="0" collapsedLevelsAreSubtotals="1"/>
    </format>
    <format dxfId="297">
      <pivotArea outline="0" fieldPosition="0" dataOnly="0" labelOnly="1">
        <references count="1">
          <reference field="0" count="0"/>
        </references>
      </pivotArea>
    </format>
    <format dxfId="296">
      <pivotArea outline="0" fieldPosition="0" dataOnly="0" grandRow="1" labelOnly="1"/>
    </format>
    <format dxfId="295">
      <pivotArea outline="0" fieldPosition="0" dataOnly="0" type="all"/>
    </format>
    <format dxfId="294">
      <pivotArea outline="0" fieldPosition="0" collapsedLevelsAreSubtotals="1"/>
    </format>
    <format dxfId="293">
      <pivotArea outline="0" fieldPosition="0" axis="axisRow" dataOnly="0" field="0" labelOnly="1" type="button"/>
    </format>
    <format dxfId="292">
      <pivotArea outline="0" fieldPosition="0" axis="axisValues" dataOnly="0" labelOnly="1"/>
    </format>
    <format dxfId="291">
      <pivotArea outline="0" fieldPosition="0" dataOnly="0" labelOnly="1">
        <references count="1">
          <reference field="0" count="0"/>
        </references>
      </pivotArea>
    </format>
    <format dxfId="290">
      <pivotArea outline="0" fieldPosition="0" dataOnly="0" grandRow="1" labelOnly="1"/>
    </format>
    <format dxfId="289">
      <pivotArea outline="0" fieldPosition="0" axis="axisValues" dataOnly="0" labelOnly="1"/>
    </format>
    <format dxfId="288">
      <pivotArea outline="0" fieldPosition="0" dataOnly="0" type="all"/>
    </format>
    <format dxfId="287">
      <pivotArea outline="0" fieldPosition="0" collapsedLevelsAreSubtotals="1"/>
    </format>
    <format dxfId="286">
      <pivotArea outline="0" fieldPosition="0" axis="axisRow" dataOnly="0" field="0" labelOnly="1" type="button"/>
    </format>
    <format dxfId="285">
      <pivotArea outline="0" fieldPosition="0" axis="axisValues" dataOnly="0" labelOnly="1"/>
    </format>
    <format dxfId="284">
      <pivotArea outline="0" fieldPosition="0" dataOnly="0" labelOnly="1">
        <references count="1">
          <reference field="0" count="0"/>
        </references>
      </pivotArea>
    </format>
    <format dxfId="283">
      <pivotArea outline="0" fieldPosition="0" dataOnly="0" grandRow="1" labelOnly="1"/>
    </format>
    <format dxfId="282">
      <pivotArea outline="0" fieldPosition="0" axis="axisValues" dataOnly="0" labelOnly="1"/>
    </format>
    <format dxfId="281">
      <pivotArea outline="0" fieldPosition="0" dataOnly="0" type="all"/>
    </format>
    <format dxfId="280">
      <pivotArea outline="0" fieldPosition="0" collapsedLevelsAreSubtotals="1"/>
    </format>
    <format dxfId="279">
      <pivotArea outline="0" fieldPosition="0" axis="axisRow" dataOnly="0" field="0" labelOnly="1" type="button"/>
    </format>
    <format dxfId="278">
      <pivotArea outline="0" fieldPosition="0" axis="axisValues" dataOnly="0" labelOnly="1"/>
    </format>
    <format dxfId="277">
      <pivotArea outline="0" fieldPosition="0" dataOnly="0" labelOnly="1">
        <references count="1">
          <reference field="0" count="0"/>
        </references>
      </pivotArea>
    </format>
    <format dxfId="276">
      <pivotArea outline="0" fieldPosition="0" dataOnly="0" grandRow="1" labelOnly="1"/>
    </format>
    <format dxfId="275">
      <pivotArea outline="0" fieldPosition="0" axis="axisValues" dataOnly="0" labelOnly="1"/>
    </format>
    <format dxfId="274">
      <pivotArea outline="0" fieldPosition="0" collapsedLevelsAreSubtotals="1" grandRow="1"/>
    </format>
    <format dxfId="273">
      <pivotArea outline="0" fieldPosition="0" dataOnly="0" grandRow="1" labelOnly="1"/>
    </format>
    <format dxfId="272">
      <pivotArea outline="0" fieldPosition="0" collapsedLevelsAreSubtotals="1" grandRow="1"/>
    </format>
    <format dxfId="271">
      <pivotArea outline="0" fieldPosition="0" dataOnly="0" grandRow="1" labelOnly="1"/>
    </format>
    <format dxfId="270">
      <pivotArea outline="0" fieldPosition="0" collapsedLevelsAreSubtotals="1" grandRow="1"/>
    </format>
    <format dxfId="269">
      <pivotArea outline="0" fieldPosition="0" dataOnly="0" grandRow="1" labelOnly="1"/>
    </format>
    <format dxfId="268">
      <pivotArea outline="0" fieldPosition="0" dataOnly="0" type="all"/>
    </format>
    <format dxfId="267">
      <pivotArea outline="0" fieldPosition="0" collapsedLevelsAreSubtotals="1"/>
    </format>
    <format dxfId="266">
      <pivotArea outline="0" fieldPosition="0" axis="axisRow" dataOnly="0" field="0" labelOnly="1" type="button"/>
    </format>
    <format dxfId="265">
      <pivotArea outline="0" fieldPosition="0" axis="axisValues" dataOnly="0" labelOnly="1"/>
    </format>
    <format dxfId="264">
      <pivotArea outline="0" fieldPosition="0" dataOnly="0" labelOnly="1">
        <references count="1">
          <reference field="0" count="0"/>
        </references>
      </pivotArea>
    </format>
    <format dxfId="263">
      <pivotArea outline="0" fieldPosition="0" dataOnly="0" grandRow="1" labelOnly="1"/>
    </format>
    <format dxfId="262">
      <pivotArea outline="0" fieldPosition="0" axis="axisValues" dataOnly="0" labelOnly="1"/>
    </format>
    <format dxfId="261">
      <pivotArea outline="0" fieldPosition="0" collapsedLevelsAreSubtotals="1">
        <references count="1">
          <reference field="0" count="1">
            <x v="0"/>
          </reference>
        </references>
      </pivotArea>
    </format>
    <format dxfId="260">
      <pivotArea outline="0" fieldPosition="0" axis="axisRow" dataOnly="0" field="0" labelOnly="1" type="button"/>
    </format>
    <format dxfId="259">
      <pivotArea outline="0" fieldPosition="0" dataOnly="0" labelOnly="1">
        <references count="1">
          <reference field="0" count="1">
            <x v="0"/>
          </reference>
        </references>
      </pivotArea>
    </format>
    <format dxfId="258">
      <pivotArea outline="0" fieldPosition="0" dataOnly="0" labelOnly="1">
        <references count="1">
          <reference field="4294967294" count="2">
            <x v="0"/>
            <x v="1"/>
          </reference>
        </references>
      </pivotArea>
    </format>
    <format dxfId="257">
      <pivotArea outline="0" fieldPosition="0" dataOnly="0" type="all"/>
    </format>
    <format dxfId="256">
      <pivotArea outline="0" fieldPosition="0" collapsedLevelsAreSubtotals="1"/>
    </format>
    <format dxfId="255">
      <pivotArea outline="0" fieldPosition="0" axis="axisRow" dataOnly="0" field="0" labelOnly="1" type="button"/>
    </format>
    <format dxfId="254">
      <pivotArea outline="0" fieldPosition="0" dataOnly="0" labelOnly="1">
        <references count="1">
          <reference field="0" count="0"/>
        </references>
      </pivotArea>
    </format>
    <format dxfId="253">
      <pivotArea outline="0" fieldPosition="0" dataOnly="0" grandRow="1" labelOnly="1"/>
    </format>
    <format dxfId="252">
      <pivotArea outline="0" fieldPosition="0" dataOnly="0" labelOnly="1">
        <references count="1">
          <reference field="4294967294" count="2">
            <x v="0"/>
            <x v="1"/>
          </reference>
        </references>
      </pivotArea>
    </format>
    <format dxfId="251">
      <pivotArea outline="0" fieldPosition="0" dataOnly="0" type="all"/>
    </format>
    <format dxfId="250">
      <pivotArea outline="0" fieldPosition="0" collapsedLevelsAreSubtotals="1"/>
    </format>
    <format dxfId="249">
      <pivotArea outline="0" fieldPosition="0" axis="axisRow" dataOnly="0" field="0" labelOnly="1" type="button"/>
    </format>
    <format dxfId="248">
      <pivotArea outline="0" fieldPosition="0" dataOnly="0" labelOnly="1">
        <references count="1">
          <reference field="0" count="0"/>
        </references>
      </pivotArea>
    </format>
    <format dxfId="247">
      <pivotArea outline="0" fieldPosition="0" dataOnly="0" grandRow="1" labelOnly="1"/>
    </format>
    <format dxfId="246">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PivotTable2" cacheId="2"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D18:F24" firstHeaderRow="0" firstDataRow="1" firstDataCol="1" rowPageCount="1" colPageCount="1"/>
  <pivotFields count="15">
    <pivotField axis="axisRow" showAll="0" sortType="ascending">
      <items count="11">
        <item x="3"/>
        <item x="0"/>
        <item m="1" x="9"/>
        <item x="4"/>
        <item m="1" x="8"/>
        <item x="2"/>
        <item m="1" x="6"/>
        <item x="1"/>
        <item m="1" x="5"/>
        <item m="1" x="7"/>
        <item t="default"/>
      </items>
    </pivotField>
    <pivotField axis="axisPage" showAll="0" multipleItemSelectionAllowed="1">
      <items count="6">
        <item x="0"/>
        <item h="1" x="4"/>
        <item h="1" x="2"/>
        <item x="3"/>
        <item h="1" x="1"/>
        <item t="default"/>
      </items>
    </pivotField>
    <pivotField showAll="0"/>
    <pivotField showAll="0"/>
    <pivotField dataField="1" showAll="0"/>
    <pivotField showAll="0"/>
    <pivotField showAll="0"/>
    <pivotField dataField="1" showAll="0" defaultSubtotal="0"/>
    <pivotField showAll="0"/>
    <pivotField showAll="0"/>
    <pivotField showAll="0"/>
    <pivotField showAll="0"/>
    <pivotField showAll="0"/>
    <pivotField showAll="0"/>
    <pivotField showAll="0"/>
  </pivotFields>
  <rowFields count="1">
    <field x="0"/>
  </rowFields>
  <rowItems count="6">
    <i>
      <x/>
    </i>
    <i>
      <x v="1"/>
    </i>
    <i>
      <x v="3"/>
    </i>
    <i>
      <x v="5"/>
    </i>
    <i>
      <x v="7"/>
    </i>
    <i t="grand">
      <x/>
    </i>
  </rowItems>
  <colFields count="1">
    <field x="-2"/>
  </colFields>
  <colItems count="2">
    <i>
      <x/>
    </i>
    <i i="1">
      <x v="1"/>
    </i>
  </colItems>
  <pageFields count="1">
    <pageField fld="1" hier="-1"/>
  </pageFields>
  <dataFields count="2">
    <dataField name="Sum of Area" fld="4" baseField="0" baseItem="1" numFmtId="165"/>
    <dataField name="Sum of Mmbtus" fld="7" baseField="0" baseItem="0"/>
  </dataFields>
  <formats count="82">
    <format dxfId="409">
      <pivotArea outline="0" fieldPosition="0" collapsedLevelsAreSubtotals="1"/>
    </format>
    <format dxfId="408">
      <pivotArea outline="0" fieldPosition="0" collapsedLevelsAreSubtotals="1"/>
    </format>
    <format dxfId="407">
      <pivotArea outline="0" fieldPosition="0" collapsedLevelsAreSubtotals="1"/>
    </format>
    <format dxfId="406">
      <pivotArea outline="0" fieldPosition="0" collapsedLevelsAreSubtotals="1"/>
    </format>
    <format dxfId="405">
      <pivotArea outline="0" fieldPosition="0" collapsedLevelsAreSubtotals="1"/>
    </format>
    <format dxfId="404">
      <pivotArea outline="0" fieldPosition="0" dataOnly="0" type="all"/>
    </format>
    <format dxfId="403">
      <pivotArea outline="0" fieldPosition="0" collapsedLevelsAreSubtotals="1"/>
    </format>
    <format dxfId="402">
      <pivotArea outline="0" fieldPosition="0" axis="axisRow" dataOnly="0" field="0" labelOnly="1" type="button"/>
    </format>
    <format dxfId="401">
      <pivotArea outline="0" fieldPosition="0" axis="axisValues" dataOnly="0" labelOnly="1"/>
    </format>
    <format dxfId="400">
      <pivotArea outline="0" fieldPosition="0" dataOnly="0" labelOnly="1">
        <references count="1">
          <reference field="0" count="0"/>
        </references>
      </pivotArea>
    </format>
    <format dxfId="399">
      <pivotArea outline="0" fieldPosition="0" dataOnly="0" grandRow="1" labelOnly="1"/>
    </format>
    <format dxfId="398">
      <pivotArea outline="0" fieldPosition="0" axis="axisValues" dataOnly="0" labelOnly="1"/>
    </format>
    <format dxfId="397">
      <pivotArea outline="0" fieldPosition="0" dataOnly="0" type="all"/>
    </format>
    <format dxfId="396">
      <pivotArea outline="0" fieldPosition="0" collapsedLevelsAreSubtotals="1"/>
    </format>
    <format dxfId="395">
      <pivotArea outline="0" fieldPosition="0" axis="axisRow" dataOnly="0" field="0" labelOnly="1" type="button"/>
    </format>
    <format dxfId="394">
      <pivotArea outline="0" fieldPosition="0" axis="axisValues" dataOnly="0" labelOnly="1"/>
    </format>
    <format dxfId="393">
      <pivotArea outline="0" fieldPosition="0" dataOnly="0" labelOnly="1">
        <references count="1">
          <reference field="0" count="0"/>
        </references>
      </pivotArea>
    </format>
    <format dxfId="392">
      <pivotArea outline="0" fieldPosition="0" dataOnly="0" grandRow="1" labelOnly="1"/>
    </format>
    <format dxfId="391">
      <pivotArea outline="0" fieldPosition="0" axis="axisValues" dataOnly="0" labelOnly="1"/>
    </format>
    <format dxfId="390">
      <pivotArea outline="0" fieldPosition="0" dataOnly="0" type="all"/>
    </format>
    <format dxfId="389">
      <pivotArea outline="0" fieldPosition="0" collapsedLevelsAreSubtotals="1"/>
    </format>
    <format dxfId="388">
      <pivotArea outline="0" fieldPosition="0" axis="axisRow" dataOnly="0" field="0" labelOnly="1" type="button"/>
    </format>
    <format dxfId="387">
      <pivotArea outline="0" fieldPosition="0" axis="axisValues" dataOnly="0" labelOnly="1"/>
    </format>
    <format dxfId="386">
      <pivotArea outline="0" fieldPosition="0" dataOnly="0" labelOnly="1">
        <references count="1">
          <reference field="0" count="0"/>
        </references>
      </pivotArea>
    </format>
    <format dxfId="385">
      <pivotArea outline="0" fieldPosition="0" dataOnly="0" grandRow="1" labelOnly="1"/>
    </format>
    <format dxfId="384">
      <pivotArea outline="0" fieldPosition="0" axis="axisValues" dataOnly="0" labelOnly="1"/>
    </format>
    <format dxfId="383">
      <pivotArea outline="0" fieldPosition="0" collapsedLevelsAreSubtotals="1"/>
    </format>
    <format dxfId="382">
      <pivotArea outline="0" fieldPosition="0" dataOnly="0" labelOnly="1">
        <references count="1">
          <reference field="0" count="0"/>
        </references>
      </pivotArea>
    </format>
    <format dxfId="381">
      <pivotArea outline="0" fieldPosition="0" dataOnly="0" grandRow="1" labelOnly="1"/>
    </format>
    <format dxfId="380">
      <pivotArea outline="0" fieldPosition="0" collapsedLevelsAreSubtotals="1"/>
    </format>
    <format dxfId="379">
      <pivotArea outline="0" fieldPosition="0" dataOnly="0" labelOnly="1">
        <references count="1">
          <reference field="0" count="0"/>
        </references>
      </pivotArea>
    </format>
    <format dxfId="378">
      <pivotArea outline="0" fieldPosition="0" dataOnly="0" grandRow="1" labelOnly="1"/>
    </format>
    <format dxfId="377">
      <pivotArea outline="0" fieldPosition="0" dataOnly="0" type="all"/>
    </format>
    <format dxfId="376">
      <pivotArea outline="0" fieldPosition="0" collapsedLevelsAreSubtotals="1"/>
    </format>
    <format dxfId="375">
      <pivotArea outline="0" fieldPosition="0" axis="axisRow" dataOnly="0" field="0" labelOnly="1" type="button"/>
    </format>
    <format dxfId="374">
      <pivotArea outline="0" fieldPosition="0" axis="axisValues" dataOnly="0" labelOnly="1"/>
    </format>
    <format dxfId="373">
      <pivotArea outline="0" fieldPosition="0" dataOnly="0" labelOnly="1">
        <references count="1">
          <reference field="0" count="0"/>
        </references>
      </pivotArea>
    </format>
    <format dxfId="372">
      <pivotArea outline="0" fieldPosition="0" dataOnly="0" grandRow="1" labelOnly="1"/>
    </format>
    <format dxfId="371">
      <pivotArea outline="0" fieldPosition="0" axis="axisValues" dataOnly="0" labelOnly="1"/>
    </format>
    <format dxfId="370">
      <pivotArea outline="0" fieldPosition="0" dataOnly="0" type="all"/>
    </format>
    <format dxfId="369">
      <pivotArea outline="0" fieldPosition="0" collapsedLevelsAreSubtotals="1"/>
    </format>
    <format dxfId="368">
      <pivotArea outline="0" fieldPosition="0" axis="axisRow" dataOnly="0" field="0" labelOnly="1" type="button"/>
    </format>
    <format dxfId="367">
      <pivotArea outline="0" fieldPosition="0" axis="axisValues" dataOnly="0" labelOnly="1"/>
    </format>
    <format dxfId="366">
      <pivotArea outline="0" fieldPosition="0" dataOnly="0" labelOnly="1">
        <references count="1">
          <reference field="0" count="0"/>
        </references>
      </pivotArea>
    </format>
    <format dxfId="365">
      <pivotArea outline="0" fieldPosition="0" dataOnly="0" grandRow="1" labelOnly="1"/>
    </format>
    <format dxfId="364">
      <pivotArea outline="0" fieldPosition="0" axis="axisValues" dataOnly="0" labelOnly="1"/>
    </format>
    <format dxfId="363">
      <pivotArea outline="0" fieldPosition="0" dataOnly="0" type="all"/>
    </format>
    <format dxfId="362">
      <pivotArea outline="0" fieldPosition="0" collapsedLevelsAreSubtotals="1"/>
    </format>
    <format dxfId="361">
      <pivotArea outline="0" fieldPosition="0" axis="axisRow" dataOnly="0" field="0" labelOnly="1" type="button"/>
    </format>
    <format dxfId="360">
      <pivotArea outline="0" fieldPosition="0" axis="axisValues" dataOnly="0" labelOnly="1"/>
    </format>
    <format dxfId="359">
      <pivotArea outline="0" fieldPosition="0" dataOnly="0" labelOnly="1">
        <references count="1">
          <reference field="0" count="0"/>
        </references>
      </pivotArea>
    </format>
    <format dxfId="358">
      <pivotArea outline="0" fieldPosition="0" dataOnly="0" grandRow="1" labelOnly="1"/>
    </format>
    <format dxfId="357">
      <pivotArea outline="0" fieldPosition="0" axis="axisValues" dataOnly="0" labelOnly="1"/>
    </format>
    <format dxfId="356">
      <pivotArea outline="0" fieldPosition="0" collapsedLevelsAreSubtotals="1" grandRow="1"/>
    </format>
    <format dxfId="355">
      <pivotArea outline="0" fieldPosition="0" dataOnly="0" grandRow="1" labelOnly="1"/>
    </format>
    <format dxfId="354">
      <pivotArea outline="0" fieldPosition="0" collapsedLevelsAreSubtotals="1" grandRow="1"/>
    </format>
    <format dxfId="353">
      <pivotArea outline="0" fieldPosition="0" dataOnly="0" grandRow="1" labelOnly="1"/>
    </format>
    <format dxfId="352">
      <pivotArea outline="0" fieldPosition="0" collapsedLevelsAreSubtotals="1" grandRow="1"/>
    </format>
    <format dxfId="351">
      <pivotArea outline="0" fieldPosition="0" dataOnly="0" grandRow="1" labelOnly="1"/>
    </format>
    <format dxfId="350">
      <pivotArea outline="0" fieldPosition="0" dataOnly="0" type="all"/>
    </format>
    <format dxfId="349">
      <pivotArea outline="0" fieldPosition="0" collapsedLevelsAreSubtotals="1"/>
    </format>
    <format dxfId="348">
      <pivotArea outline="0" fieldPosition="0" axis="axisRow" dataOnly="0" field="0" labelOnly="1" type="button"/>
    </format>
    <format dxfId="347">
      <pivotArea outline="0" fieldPosition="0" axis="axisValues" dataOnly="0" labelOnly="1"/>
    </format>
    <format dxfId="346">
      <pivotArea outline="0" fieldPosition="0" dataOnly="0" labelOnly="1">
        <references count="1">
          <reference field="0" count="0"/>
        </references>
      </pivotArea>
    </format>
    <format dxfId="345">
      <pivotArea outline="0" fieldPosition="0" dataOnly="0" grandRow="1" labelOnly="1"/>
    </format>
    <format dxfId="344">
      <pivotArea outline="0" fieldPosition="0" axis="axisValues" dataOnly="0" labelOnly="1"/>
    </format>
    <format dxfId="343">
      <pivotArea outline="0" fieldPosition="0" collapsedLevelsAreSubtotals="1">
        <references count="1">
          <reference field="0" count="1">
            <x v="0"/>
          </reference>
        </references>
      </pivotArea>
    </format>
    <format dxfId="342">
      <pivotArea outline="0" fieldPosition="0" axis="axisRow" dataOnly="0" field="0" labelOnly="1" type="button"/>
    </format>
    <format dxfId="341">
      <pivotArea outline="0" fieldPosition="0" dataOnly="0" labelOnly="1">
        <references count="1">
          <reference field="0" count="1">
            <x v="0"/>
          </reference>
        </references>
      </pivotArea>
    </format>
    <format dxfId="340">
      <pivotArea outline="0" fieldPosition="0" dataOnly="0" labelOnly="1">
        <references count="1">
          <reference field="4294967294" count="2">
            <x v="0"/>
            <x v="1"/>
          </reference>
        </references>
      </pivotArea>
    </format>
    <format dxfId="339">
      <pivotArea outline="0" fieldPosition="0" dataOnly="0" type="all"/>
    </format>
    <format dxfId="338">
      <pivotArea outline="0" fieldPosition="0" collapsedLevelsAreSubtotals="1"/>
    </format>
    <format dxfId="337">
      <pivotArea outline="0" fieldPosition="0" axis="axisRow" dataOnly="0" field="0" labelOnly="1" type="button"/>
    </format>
    <format dxfId="336">
      <pivotArea outline="0" fieldPosition="0" dataOnly="0" labelOnly="1">
        <references count="1">
          <reference field="0" count="0"/>
        </references>
      </pivotArea>
    </format>
    <format dxfId="335">
      <pivotArea outline="0" fieldPosition="0" dataOnly="0" grandRow="1" labelOnly="1"/>
    </format>
    <format dxfId="334">
      <pivotArea outline="0" fieldPosition="0" dataOnly="0" labelOnly="1">
        <references count="1">
          <reference field="4294967294" count="2">
            <x v="0"/>
            <x v="1"/>
          </reference>
        </references>
      </pivotArea>
    </format>
    <format dxfId="333">
      <pivotArea outline="0" fieldPosition="0" dataOnly="0" type="all"/>
    </format>
    <format dxfId="332">
      <pivotArea outline="0" fieldPosition="0" collapsedLevelsAreSubtotals="1"/>
    </format>
    <format dxfId="331">
      <pivotArea outline="0" fieldPosition="0" axis="axisRow" dataOnly="0" field="0" labelOnly="1" type="button"/>
    </format>
    <format dxfId="330">
      <pivotArea outline="0" fieldPosition="0" dataOnly="0" labelOnly="1">
        <references count="1">
          <reference field="0" count="0"/>
        </references>
      </pivotArea>
    </format>
    <format dxfId="329">
      <pivotArea outline="0" fieldPosition="0" dataOnly="0" grandRow="1" labelOnly="1"/>
    </format>
    <format dxfId="328">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PivotTable1" cacheId="2"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D6:F12" firstHeaderRow="0" firstDataRow="1" firstDataCol="1" rowPageCount="1" colPageCount="1"/>
  <pivotFields count="15">
    <pivotField axis="axisRow" showAll="0" sortType="ascending">
      <items count="11">
        <item x="3"/>
        <item x="0"/>
        <item m="1" x="9"/>
        <item x="4"/>
        <item m="1" x="8"/>
        <item x="2"/>
        <item m="1" x="6"/>
        <item x="1"/>
        <item m="1" x="5"/>
        <item h="1" m="1" x="7"/>
        <item t="default"/>
      </items>
    </pivotField>
    <pivotField axis="axisPage" showAll="0" multipleItemSelectionAllowed="1">
      <items count="6">
        <item x="0"/>
        <item h="1" x="4"/>
        <item h="1" x="2"/>
        <item h="1" x="3"/>
        <item h="1" x="1"/>
        <item t="default"/>
      </items>
    </pivotField>
    <pivotField showAll="0"/>
    <pivotField showAll="0"/>
    <pivotField dataField="1" showAll="0"/>
    <pivotField showAll="0"/>
    <pivotField showAll="0"/>
    <pivotField dataField="1" showAll="0" defaultSubtotal="0"/>
    <pivotField showAll="0"/>
    <pivotField showAll="0"/>
    <pivotField showAll="0"/>
    <pivotField showAll="0"/>
    <pivotField showAll="0"/>
    <pivotField showAll="0"/>
    <pivotField showAll="0"/>
  </pivotFields>
  <rowFields count="1">
    <field x="0"/>
  </rowFields>
  <rowItems count="6">
    <i>
      <x/>
    </i>
    <i>
      <x v="1"/>
    </i>
    <i>
      <x v="3"/>
    </i>
    <i>
      <x v="5"/>
    </i>
    <i>
      <x v="7"/>
    </i>
    <i t="grand">
      <x/>
    </i>
  </rowItems>
  <colFields count="1">
    <field x="-2"/>
  </colFields>
  <colItems count="2">
    <i>
      <x/>
    </i>
    <i i="1">
      <x v="1"/>
    </i>
  </colItems>
  <pageFields count="1">
    <pageField fld="1" hier="-1"/>
  </pageFields>
  <dataFields count="2">
    <dataField name="Sum of Area" fld="4" baseField="0" baseItem="1" numFmtId="165"/>
    <dataField name="Sum of Mmbtus" fld="7" baseField="0" baseItem="0"/>
  </dataFields>
  <formats count="82">
    <format dxfId="491">
      <pivotArea outline="0" fieldPosition="0" collapsedLevelsAreSubtotals="1"/>
    </format>
    <format dxfId="490">
      <pivotArea outline="0" fieldPosition="0" collapsedLevelsAreSubtotals="1"/>
    </format>
    <format dxfId="489">
      <pivotArea outline="0" fieldPosition="0" collapsedLevelsAreSubtotals="1"/>
    </format>
    <format dxfId="488">
      <pivotArea outline="0" fieldPosition="0" collapsedLevelsAreSubtotals="1"/>
    </format>
    <format dxfId="487">
      <pivotArea outline="0" fieldPosition="0" collapsedLevelsAreSubtotals="1"/>
    </format>
    <format dxfId="486">
      <pivotArea outline="0" fieldPosition="0" dataOnly="0" type="all"/>
    </format>
    <format dxfId="485">
      <pivotArea outline="0" fieldPosition="0" collapsedLevelsAreSubtotals="1"/>
    </format>
    <format dxfId="484">
      <pivotArea outline="0" fieldPosition="0" axis="axisRow" dataOnly="0" field="0" labelOnly="1" type="button"/>
    </format>
    <format dxfId="483">
      <pivotArea outline="0" fieldPosition="0" axis="axisValues" dataOnly="0" labelOnly="1"/>
    </format>
    <format dxfId="482">
      <pivotArea outline="0" fieldPosition="0" dataOnly="0" labelOnly="1">
        <references count="1">
          <reference field="0" count="0"/>
        </references>
      </pivotArea>
    </format>
    <format dxfId="481">
      <pivotArea outline="0" fieldPosition="0" dataOnly="0" grandRow="1" labelOnly="1"/>
    </format>
    <format dxfId="480">
      <pivotArea outline="0" fieldPosition="0" axis="axisValues" dataOnly="0" labelOnly="1"/>
    </format>
    <format dxfId="479">
      <pivotArea outline="0" fieldPosition="0" dataOnly="0" type="all"/>
    </format>
    <format dxfId="478">
      <pivotArea outline="0" fieldPosition="0" collapsedLevelsAreSubtotals="1"/>
    </format>
    <format dxfId="477">
      <pivotArea outline="0" fieldPosition="0" axis="axisRow" dataOnly="0" field="0" labelOnly="1" type="button"/>
    </format>
    <format dxfId="476">
      <pivotArea outline="0" fieldPosition="0" axis="axisValues" dataOnly="0" labelOnly="1"/>
    </format>
    <format dxfId="475">
      <pivotArea outline="0" fieldPosition="0" dataOnly="0" labelOnly="1">
        <references count="1">
          <reference field="0" count="0"/>
        </references>
      </pivotArea>
    </format>
    <format dxfId="474">
      <pivotArea outline="0" fieldPosition="0" dataOnly="0" grandRow="1" labelOnly="1"/>
    </format>
    <format dxfId="473">
      <pivotArea outline="0" fieldPosition="0" axis="axisValues" dataOnly="0" labelOnly="1"/>
    </format>
    <format dxfId="472">
      <pivotArea outline="0" fieldPosition="0" dataOnly="0" type="all"/>
    </format>
    <format dxfId="471">
      <pivotArea outline="0" fieldPosition="0" collapsedLevelsAreSubtotals="1"/>
    </format>
    <format dxfId="470">
      <pivotArea outline="0" fieldPosition="0" axis="axisRow" dataOnly="0" field="0" labelOnly="1" type="button"/>
    </format>
    <format dxfId="469">
      <pivotArea outline="0" fieldPosition="0" axis="axisValues" dataOnly="0" labelOnly="1"/>
    </format>
    <format dxfId="468">
      <pivotArea outline="0" fieldPosition="0" dataOnly="0" labelOnly="1">
        <references count="1">
          <reference field="0" count="0"/>
        </references>
      </pivotArea>
    </format>
    <format dxfId="467">
      <pivotArea outline="0" fieldPosition="0" dataOnly="0" grandRow="1" labelOnly="1"/>
    </format>
    <format dxfId="466">
      <pivotArea outline="0" fieldPosition="0" axis="axisValues" dataOnly="0" labelOnly="1"/>
    </format>
    <format dxfId="465">
      <pivotArea outline="0" fieldPosition="0" collapsedLevelsAreSubtotals="1"/>
    </format>
    <format dxfId="464">
      <pivotArea outline="0" fieldPosition="0" dataOnly="0" labelOnly="1">
        <references count="1">
          <reference field="0" count="0"/>
        </references>
      </pivotArea>
    </format>
    <format dxfId="463">
      <pivotArea outline="0" fieldPosition="0" dataOnly="0" grandRow="1" labelOnly="1"/>
    </format>
    <format dxfId="462">
      <pivotArea outline="0" fieldPosition="0" collapsedLevelsAreSubtotals="1"/>
    </format>
    <format dxfId="461">
      <pivotArea outline="0" fieldPosition="0" dataOnly="0" labelOnly="1">
        <references count="1">
          <reference field="0" count="0"/>
        </references>
      </pivotArea>
    </format>
    <format dxfId="460">
      <pivotArea outline="0" fieldPosition="0" dataOnly="0" grandRow="1" labelOnly="1"/>
    </format>
    <format dxfId="459">
      <pivotArea outline="0" fieldPosition="0" dataOnly="0" type="all"/>
    </format>
    <format dxfId="458">
      <pivotArea outline="0" fieldPosition="0" collapsedLevelsAreSubtotals="1"/>
    </format>
    <format dxfId="457">
      <pivotArea outline="0" fieldPosition="0" axis="axisRow" dataOnly="0" field="0" labelOnly="1" type="button"/>
    </format>
    <format dxfId="456">
      <pivotArea outline="0" fieldPosition="0" axis="axisValues" dataOnly="0" labelOnly="1"/>
    </format>
    <format dxfId="455">
      <pivotArea outline="0" fieldPosition="0" dataOnly="0" labelOnly="1">
        <references count="1">
          <reference field="0" count="0"/>
        </references>
      </pivotArea>
    </format>
    <format dxfId="454">
      <pivotArea outline="0" fieldPosition="0" dataOnly="0" grandRow="1" labelOnly="1"/>
    </format>
    <format dxfId="453">
      <pivotArea outline="0" fieldPosition="0" axis="axisValues" dataOnly="0" labelOnly="1"/>
    </format>
    <format dxfId="452">
      <pivotArea outline="0" fieldPosition="0" dataOnly="0" type="all"/>
    </format>
    <format dxfId="451">
      <pivotArea outline="0" fieldPosition="0" collapsedLevelsAreSubtotals="1"/>
    </format>
    <format dxfId="450">
      <pivotArea outline="0" fieldPosition="0" axis="axisRow" dataOnly="0" field="0" labelOnly="1" type="button"/>
    </format>
    <format dxfId="449">
      <pivotArea outline="0" fieldPosition="0" axis="axisValues" dataOnly="0" labelOnly="1"/>
    </format>
    <format dxfId="448">
      <pivotArea outline="0" fieldPosition="0" dataOnly="0" labelOnly="1">
        <references count="1">
          <reference field="0" count="0"/>
        </references>
      </pivotArea>
    </format>
    <format dxfId="447">
      <pivotArea outline="0" fieldPosition="0" dataOnly="0" grandRow="1" labelOnly="1"/>
    </format>
    <format dxfId="446">
      <pivotArea outline="0" fieldPosition="0" axis="axisValues" dataOnly="0" labelOnly="1"/>
    </format>
    <format dxfId="445">
      <pivotArea outline="0" fieldPosition="0" dataOnly="0" type="all"/>
    </format>
    <format dxfId="444">
      <pivotArea outline="0" fieldPosition="0" collapsedLevelsAreSubtotals="1"/>
    </format>
    <format dxfId="443">
      <pivotArea outline="0" fieldPosition="0" axis="axisRow" dataOnly="0" field="0" labelOnly="1" type="button"/>
    </format>
    <format dxfId="442">
      <pivotArea outline="0" fieldPosition="0" axis="axisValues" dataOnly="0" labelOnly="1"/>
    </format>
    <format dxfId="441">
      <pivotArea outline="0" fieldPosition="0" dataOnly="0" labelOnly="1">
        <references count="1">
          <reference field="0" count="0"/>
        </references>
      </pivotArea>
    </format>
    <format dxfId="440">
      <pivotArea outline="0" fieldPosition="0" dataOnly="0" grandRow="1" labelOnly="1"/>
    </format>
    <format dxfId="439">
      <pivotArea outline="0" fieldPosition="0" axis="axisValues" dataOnly="0" labelOnly="1"/>
    </format>
    <format dxfId="438">
      <pivotArea outline="0" fieldPosition="0" collapsedLevelsAreSubtotals="1" grandRow="1"/>
    </format>
    <format dxfId="437">
      <pivotArea outline="0" fieldPosition="0" dataOnly="0" grandRow="1" labelOnly="1"/>
    </format>
    <format dxfId="436">
      <pivotArea outline="0" fieldPosition="0" collapsedLevelsAreSubtotals="1" grandRow="1"/>
    </format>
    <format dxfId="435">
      <pivotArea outline="0" fieldPosition="0" dataOnly="0" grandRow="1" labelOnly="1"/>
    </format>
    <format dxfId="434">
      <pivotArea outline="0" fieldPosition="0" collapsedLevelsAreSubtotals="1" grandRow="1"/>
    </format>
    <format dxfId="433">
      <pivotArea outline="0" fieldPosition="0" dataOnly="0" grandRow="1" labelOnly="1"/>
    </format>
    <format dxfId="432">
      <pivotArea outline="0" fieldPosition="0" dataOnly="0" type="all"/>
    </format>
    <format dxfId="431">
      <pivotArea outline="0" fieldPosition="0" collapsedLevelsAreSubtotals="1"/>
    </format>
    <format dxfId="430">
      <pivotArea outline="0" fieldPosition="0" axis="axisRow" dataOnly="0" field="0" labelOnly="1" type="button"/>
    </format>
    <format dxfId="429">
      <pivotArea outline="0" fieldPosition="0" axis="axisValues" dataOnly="0" labelOnly="1"/>
    </format>
    <format dxfId="428">
      <pivotArea outline="0" fieldPosition="0" dataOnly="0" labelOnly="1">
        <references count="1">
          <reference field="0" count="0"/>
        </references>
      </pivotArea>
    </format>
    <format dxfId="427">
      <pivotArea outline="0" fieldPosition="0" dataOnly="0" grandRow="1" labelOnly="1"/>
    </format>
    <format dxfId="426">
      <pivotArea outline="0" fieldPosition="0" axis="axisValues" dataOnly="0" labelOnly="1"/>
    </format>
    <format dxfId="425">
      <pivotArea outline="0" fieldPosition="0" collapsedLevelsAreSubtotals="1">
        <references count="1">
          <reference field="0" count="1">
            <x v="0"/>
          </reference>
        </references>
      </pivotArea>
    </format>
    <format dxfId="424">
      <pivotArea outline="0" fieldPosition="0" axis="axisRow" dataOnly="0" field="0" labelOnly="1" type="button"/>
    </format>
    <format dxfId="423">
      <pivotArea outline="0" fieldPosition="0" dataOnly="0" labelOnly="1">
        <references count="1">
          <reference field="0" count="1">
            <x v="0"/>
          </reference>
        </references>
      </pivotArea>
    </format>
    <format dxfId="422">
      <pivotArea outline="0" fieldPosition="0" dataOnly="0" labelOnly="1">
        <references count="1">
          <reference field="4294967294" count="2">
            <x v="0"/>
            <x v="1"/>
          </reference>
        </references>
      </pivotArea>
    </format>
    <format dxfId="421">
      <pivotArea outline="0" fieldPosition="0" dataOnly="0" type="all"/>
    </format>
    <format dxfId="420">
      <pivotArea outline="0" fieldPosition="0" collapsedLevelsAreSubtotals="1"/>
    </format>
    <format dxfId="419">
      <pivotArea outline="0" fieldPosition="0" axis="axisRow" dataOnly="0" field="0" labelOnly="1" type="button"/>
    </format>
    <format dxfId="418">
      <pivotArea outline="0" fieldPosition="0" dataOnly="0" labelOnly="1">
        <references count="1">
          <reference field="0" count="0"/>
        </references>
      </pivotArea>
    </format>
    <format dxfId="417">
      <pivotArea outline="0" fieldPosition="0" dataOnly="0" grandRow="1" labelOnly="1"/>
    </format>
    <format dxfId="416">
      <pivotArea outline="0" fieldPosition="0" dataOnly="0" labelOnly="1">
        <references count="1">
          <reference field="4294967294" count="2">
            <x v="0"/>
            <x v="1"/>
          </reference>
        </references>
      </pivotArea>
    </format>
    <format dxfId="415">
      <pivotArea outline="0" fieldPosition="0" dataOnly="0" type="all"/>
    </format>
    <format dxfId="414">
      <pivotArea outline="0" fieldPosition="0" collapsedLevelsAreSubtotals="1"/>
    </format>
    <format dxfId="413">
      <pivotArea outline="0" fieldPosition="0" axis="axisRow" dataOnly="0" field="0" labelOnly="1" type="button"/>
    </format>
    <format dxfId="412">
      <pivotArea outline="0" fieldPosition="0" dataOnly="0" labelOnly="1">
        <references count="1">
          <reference field="0" count="0"/>
        </references>
      </pivotArea>
    </format>
    <format dxfId="411">
      <pivotArea outline="0" fieldPosition="0" dataOnly="0" grandRow="1" labelOnly="1"/>
    </format>
    <format dxfId="410">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D32:F38" firstHeaderRow="0" firstDataRow="1" firstDataCol="1" rowPageCount="1" colPageCount="1"/>
  <pivotFields count="15">
    <pivotField axis="axisRow" showAll="0" sortType="ascending">
      <items count="11">
        <item x="3"/>
        <item x="0"/>
        <item m="1" x="9"/>
        <item x="4"/>
        <item m="1" x="8"/>
        <item x="2"/>
        <item m="1" x="6"/>
        <item x="1"/>
        <item m="1" x="5"/>
        <item m="1" x="7"/>
        <item t="default"/>
      </items>
    </pivotField>
    <pivotField axis="axisPage" showAll="0" multipleItemSelectionAllowed="1">
      <items count="6">
        <item x="0"/>
        <item h="1" x="4"/>
        <item h="1" x="2"/>
        <item x="3"/>
        <item h="1" x="1"/>
        <item t="default"/>
      </items>
    </pivotField>
    <pivotField showAll="0"/>
    <pivotField showAll="0"/>
    <pivotField dataField="1" showAll="0"/>
    <pivotField showAll="0"/>
    <pivotField showAll="0"/>
    <pivotField dataField="1" showAll="0" defaultSubtotal="0"/>
    <pivotField showAll="0"/>
    <pivotField showAll="0"/>
    <pivotField showAll="0"/>
    <pivotField showAll="0"/>
    <pivotField showAll="0"/>
    <pivotField showAll="0"/>
    <pivotField showAll="0"/>
  </pivotFields>
  <rowFields count="1">
    <field x="0"/>
  </rowFields>
  <rowItems count="6">
    <i>
      <x/>
    </i>
    <i>
      <x v="1"/>
    </i>
    <i>
      <x v="3"/>
    </i>
    <i>
      <x v="5"/>
    </i>
    <i>
      <x v="7"/>
    </i>
    <i t="grand">
      <x/>
    </i>
  </rowItems>
  <colFields count="1">
    <field x="-2"/>
  </colFields>
  <colItems count="2">
    <i>
      <x/>
    </i>
    <i i="1">
      <x v="1"/>
    </i>
  </colItems>
  <pageFields count="1">
    <pageField fld="1" hier="-1"/>
  </pageFields>
  <dataFields count="2">
    <dataField name="Sum of Area" fld="4" baseField="0" baseItem="1" numFmtId="165"/>
    <dataField name="Sum of Mmbtus" fld="7" baseField="0" baseItem="0"/>
  </dataFields>
  <formats count="82">
    <format dxfId="81">
      <pivotArea outline="0" fieldPosition="0" collapsedLevelsAreSubtotals="1"/>
    </format>
    <format dxfId="80">
      <pivotArea outline="0" fieldPosition="0" collapsedLevelsAreSubtotals="1"/>
    </format>
    <format dxfId="79">
      <pivotArea outline="0" fieldPosition="0" collapsedLevelsAreSubtotals="1"/>
    </format>
    <format dxfId="78">
      <pivotArea outline="0" fieldPosition="0" collapsedLevelsAreSubtotals="1"/>
    </format>
    <format dxfId="77">
      <pivotArea outline="0" fieldPosition="0" collapsedLevelsAreSubtotals="1"/>
    </format>
    <format dxfId="76">
      <pivotArea outline="0" fieldPosition="0" dataOnly="0" type="all"/>
    </format>
    <format dxfId="75">
      <pivotArea outline="0" fieldPosition="0" collapsedLevelsAreSubtotals="1"/>
    </format>
    <format dxfId="74">
      <pivotArea outline="0" fieldPosition="0" axis="axisRow" dataOnly="0" field="0" labelOnly="1" type="button"/>
    </format>
    <format dxfId="73">
      <pivotArea outline="0" fieldPosition="0" axis="axisValues" dataOnly="0" labelOnly="1"/>
    </format>
    <format dxfId="72">
      <pivotArea outline="0" fieldPosition="0" dataOnly="0" labelOnly="1">
        <references count="1">
          <reference field="0" count="0"/>
        </references>
      </pivotArea>
    </format>
    <format dxfId="71">
      <pivotArea outline="0" fieldPosition="0" dataOnly="0" grandRow="1" labelOnly="1"/>
    </format>
    <format dxfId="70">
      <pivotArea outline="0" fieldPosition="0" axis="axisValues" dataOnly="0" labelOnly="1"/>
    </format>
    <format dxfId="69">
      <pivotArea outline="0" fieldPosition="0" dataOnly="0" type="all"/>
    </format>
    <format dxfId="68">
      <pivotArea outline="0" fieldPosition="0" collapsedLevelsAreSubtotals="1"/>
    </format>
    <format dxfId="67">
      <pivotArea outline="0" fieldPosition="0" axis="axisRow" dataOnly="0" field="0" labelOnly="1" type="button"/>
    </format>
    <format dxfId="66">
      <pivotArea outline="0" fieldPosition="0" axis="axisValues" dataOnly="0" labelOnly="1"/>
    </format>
    <format dxfId="65">
      <pivotArea outline="0" fieldPosition="0" dataOnly="0" labelOnly="1">
        <references count="1">
          <reference field="0" count="0"/>
        </references>
      </pivotArea>
    </format>
    <format dxfId="64">
      <pivotArea outline="0" fieldPosition="0" dataOnly="0" grandRow="1" labelOnly="1"/>
    </format>
    <format dxfId="63">
      <pivotArea outline="0" fieldPosition="0" axis="axisValues" dataOnly="0" labelOnly="1"/>
    </format>
    <format dxfId="62">
      <pivotArea outline="0" fieldPosition="0" dataOnly="0" type="all"/>
    </format>
    <format dxfId="61">
      <pivotArea outline="0" fieldPosition="0" collapsedLevelsAreSubtotals="1"/>
    </format>
    <format dxfId="60">
      <pivotArea outline="0" fieldPosition="0" axis="axisRow" dataOnly="0" field="0" labelOnly="1" type="button"/>
    </format>
    <format dxfId="59">
      <pivotArea outline="0" fieldPosition="0" axis="axisValues" dataOnly="0" labelOnly="1"/>
    </format>
    <format dxfId="58">
      <pivotArea outline="0" fieldPosition="0" dataOnly="0" labelOnly="1">
        <references count="1">
          <reference field="0" count="0"/>
        </references>
      </pivotArea>
    </format>
    <format dxfId="57">
      <pivotArea outline="0" fieldPosition="0" dataOnly="0" grandRow="1" labelOnly="1"/>
    </format>
    <format dxfId="56">
      <pivotArea outline="0" fieldPosition="0" axis="axisValues" dataOnly="0" labelOnly="1"/>
    </format>
    <format dxfId="55">
      <pivotArea outline="0" fieldPosition="0" collapsedLevelsAreSubtotals="1"/>
    </format>
    <format dxfId="54">
      <pivotArea outline="0" fieldPosition="0" dataOnly="0" labelOnly="1">
        <references count="1">
          <reference field="0" count="0"/>
        </references>
      </pivotArea>
    </format>
    <format dxfId="53">
      <pivotArea outline="0" fieldPosition="0" dataOnly="0" grandRow="1" labelOnly="1"/>
    </format>
    <format dxfId="52">
      <pivotArea outline="0" fieldPosition="0" collapsedLevelsAreSubtotals="1"/>
    </format>
    <format dxfId="51">
      <pivotArea outline="0" fieldPosition="0" dataOnly="0" labelOnly="1">
        <references count="1">
          <reference field="0" count="0"/>
        </references>
      </pivotArea>
    </format>
    <format dxfId="50">
      <pivotArea outline="0" fieldPosition="0" dataOnly="0" grandRow="1" labelOnly="1"/>
    </format>
    <format dxfId="49">
      <pivotArea outline="0" fieldPosition="0" dataOnly="0" type="all"/>
    </format>
    <format dxfId="48">
      <pivotArea outline="0" fieldPosition="0" collapsedLevelsAreSubtotals="1"/>
    </format>
    <format dxfId="47">
      <pivotArea outline="0" fieldPosition="0" axis="axisRow" dataOnly="0" field="0" labelOnly="1" type="button"/>
    </format>
    <format dxfId="46">
      <pivotArea outline="0" fieldPosition="0" axis="axisValues" dataOnly="0" labelOnly="1"/>
    </format>
    <format dxfId="45">
      <pivotArea outline="0" fieldPosition="0" dataOnly="0" labelOnly="1">
        <references count="1">
          <reference field="0" count="0"/>
        </references>
      </pivotArea>
    </format>
    <format dxfId="44">
      <pivotArea outline="0" fieldPosition="0" dataOnly="0" grandRow="1" labelOnly="1"/>
    </format>
    <format dxfId="43">
      <pivotArea outline="0" fieldPosition="0" axis="axisValues" dataOnly="0" labelOnly="1"/>
    </format>
    <format dxfId="42">
      <pivotArea outline="0" fieldPosition="0" dataOnly="0" type="all"/>
    </format>
    <format dxfId="41">
      <pivotArea outline="0" fieldPosition="0" collapsedLevelsAreSubtotals="1"/>
    </format>
    <format dxfId="40">
      <pivotArea outline="0" fieldPosition="0" axis="axisRow" dataOnly="0" field="0" labelOnly="1" type="button"/>
    </format>
    <format dxfId="39">
      <pivotArea outline="0" fieldPosition="0" axis="axisValues" dataOnly="0" labelOnly="1"/>
    </format>
    <format dxfId="38">
      <pivotArea outline="0" fieldPosition="0" dataOnly="0" labelOnly="1">
        <references count="1">
          <reference field="0" count="0"/>
        </references>
      </pivotArea>
    </format>
    <format dxfId="37">
      <pivotArea outline="0" fieldPosition="0" dataOnly="0" grandRow="1" labelOnly="1"/>
    </format>
    <format dxfId="36">
      <pivotArea outline="0" fieldPosition="0" axis="axisValues" dataOnly="0" labelOnly="1"/>
    </format>
    <format dxfId="35">
      <pivotArea outline="0" fieldPosition="0" dataOnly="0" type="all"/>
    </format>
    <format dxfId="34">
      <pivotArea outline="0" fieldPosition="0" collapsedLevelsAreSubtotals="1"/>
    </format>
    <format dxfId="33">
      <pivotArea outline="0" fieldPosition="0" axis="axisRow" dataOnly="0" field="0" labelOnly="1" type="button"/>
    </format>
    <format dxfId="32">
      <pivotArea outline="0" fieldPosition="0" axis="axisValues" dataOnly="0" labelOnly="1"/>
    </format>
    <format dxfId="31">
      <pivotArea outline="0" fieldPosition="0" dataOnly="0" labelOnly="1">
        <references count="1">
          <reference field="0" count="0"/>
        </references>
      </pivotArea>
    </format>
    <format dxfId="30">
      <pivotArea outline="0" fieldPosition="0" dataOnly="0" grandRow="1" labelOnly="1"/>
    </format>
    <format dxfId="29">
      <pivotArea outline="0" fieldPosition="0" axis="axisValues" dataOnly="0" labelOnly="1"/>
    </format>
    <format dxfId="28">
      <pivotArea outline="0" fieldPosition="0" collapsedLevelsAreSubtotals="1" grandRow="1"/>
    </format>
    <format dxfId="27">
      <pivotArea outline="0" fieldPosition="0" dataOnly="0" grandRow="1" labelOnly="1"/>
    </format>
    <format dxfId="26">
      <pivotArea outline="0" fieldPosition="0" collapsedLevelsAreSubtotals="1" grandRow="1"/>
    </format>
    <format dxfId="25">
      <pivotArea outline="0" fieldPosition="0" dataOnly="0" grandRow="1" labelOnly="1"/>
    </format>
    <format dxfId="24">
      <pivotArea outline="0" fieldPosition="0" collapsedLevelsAreSubtotals="1" grandRow="1"/>
    </format>
    <format dxfId="23">
      <pivotArea outline="0" fieldPosition="0" dataOnly="0" grandRow="1" labelOnly="1"/>
    </format>
    <format dxfId="22">
      <pivotArea outline="0" fieldPosition="0" dataOnly="0" type="all"/>
    </format>
    <format dxfId="21">
      <pivotArea outline="0" fieldPosition="0" collapsedLevelsAreSubtotals="1"/>
    </format>
    <format dxfId="20">
      <pivotArea outline="0" fieldPosition="0" axis="axisRow" dataOnly="0" field="0" labelOnly="1" type="button"/>
    </format>
    <format dxfId="19">
      <pivotArea outline="0" fieldPosition="0" axis="axisValues" dataOnly="0" labelOnly="1"/>
    </format>
    <format dxfId="18">
      <pivotArea outline="0" fieldPosition="0" dataOnly="0" labelOnly="1">
        <references count="1">
          <reference field="0" count="0"/>
        </references>
      </pivotArea>
    </format>
    <format dxfId="17">
      <pivotArea outline="0" fieldPosition="0" dataOnly="0" grandRow="1" labelOnly="1"/>
    </format>
    <format dxfId="16">
      <pivotArea outline="0" fieldPosition="0" axis="axisValues" dataOnly="0" labelOnly="1"/>
    </format>
    <format dxfId="15">
      <pivotArea outline="0" fieldPosition="0" collapsedLevelsAreSubtotals="1">
        <references count="1">
          <reference field="0" count="1">
            <x v="0"/>
          </reference>
        </references>
      </pivotArea>
    </format>
    <format dxfId="14">
      <pivotArea outline="0" fieldPosition="0" axis="axisRow" dataOnly="0" field="0" labelOnly="1" type="button"/>
    </format>
    <format dxfId="13">
      <pivotArea outline="0" fieldPosition="0" dataOnly="0" labelOnly="1">
        <references count="1">
          <reference field="0" count="1">
            <x v="0"/>
          </reference>
        </references>
      </pivotArea>
    </format>
    <format dxfId="12">
      <pivotArea outline="0" fieldPosition="0" dataOnly="0" labelOnly="1">
        <references count="1">
          <reference field="4294967294" count="2">
            <x v="0"/>
            <x v="1"/>
          </reference>
        </references>
      </pivotArea>
    </format>
    <format dxfId="11">
      <pivotArea outline="0" fieldPosition="0" dataOnly="0" type="all"/>
    </format>
    <format dxfId="10">
      <pivotArea outline="0" fieldPosition="0" collapsedLevelsAreSubtotals="1"/>
    </format>
    <format dxfId="9">
      <pivotArea outline="0" fieldPosition="0" axis="axisRow" dataOnly="0" field="0" labelOnly="1" type="button"/>
    </format>
    <format dxfId="8">
      <pivotArea outline="0" fieldPosition="0" dataOnly="0" labelOnly="1">
        <references count="1">
          <reference field="0" count="0"/>
        </references>
      </pivotArea>
    </format>
    <format dxfId="7">
      <pivotArea outline="0" fieldPosition="0" dataOnly="0" grandRow="1" labelOnly="1"/>
    </format>
    <format dxfId="6">
      <pivotArea outline="0" fieldPosition="0" dataOnly="0" labelOnly="1">
        <references count="1">
          <reference field="4294967294" count="2">
            <x v="0"/>
            <x v="1"/>
          </reference>
        </references>
      </pivotArea>
    </format>
    <format dxfId="5">
      <pivotArea outline="0" fieldPosition="0" dataOnly="0" type="all"/>
    </format>
    <format dxfId="4">
      <pivotArea outline="0" fieldPosition="0" collapsedLevelsAreSubtotals="1"/>
    </format>
    <format dxfId="3">
      <pivotArea outline="0" fieldPosition="0" axis="axisRow" dataOnly="0" field="0" labelOnly="1" type="button"/>
    </format>
    <format dxfId="2">
      <pivotArea outline="0" fieldPosition="0" dataOnly="0" labelOnly="1">
        <references count="1">
          <reference field="0" count="0"/>
        </references>
      </pivotArea>
    </format>
    <format dxfId="1">
      <pivotArea outline="0" fieldPosition="0" dataOnly="0" grandRow="1" labelOnly="1"/>
    </format>
    <format dxfId="0">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PivotTable1" cacheId="2"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D6:F12" firstHeaderRow="0" firstDataRow="1" firstDataCol="1" rowPageCount="1" colPageCount="1"/>
  <pivotFields count="15">
    <pivotField axis="axisRow" showAll="0" sortType="ascending">
      <items count="11">
        <item x="3"/>
        <item x="0"/>
        <item m="1" x="9"/>
        <item x="4"/>
        <item m="1" x="8"/>
        <item x="2"/>
        <item m="1" x="6"/>
        <item x="1"/>
        <item m="1" x="5"/>
        <item m="1" x="7"/>
        <item t="default"/>
      </items>
    </pivotField>
    <pivotField axis="axisPage" showAll="0" multipleItemSelectionAllowed="1">
      <items count="6">
        <item x="0"/>
        <item h="1" x="4"/>
        <item h="1" x="2"/>
        <item h="1" x="3"/>
        <item h="1" x="1"/>
        <item t="default"/>
      </items>
    </pivotField>
    <pivotField showAll="0"/>
    <pivotField showAll="0"/>
    <pivotField dataField="1" showAll="0"/>
    <pivotField showAll="0"/>
    <pivotField showAll="0"/>
    <pivotField dataField="1" showAll="0" defaultSubtotal="0"/>
    <pivotField showAll="0"/>
    <pivotField showAll="0"/>
    <pivotField showAll="0"/>
    <pivotField showAll="0"/>
    <pivotField showAll="0"/>
    <pivotField showAll="0"/>
    <pivotField showAll="0"/>
  </pivotFields>
  <rowFields count="1">
    <field x="0"/>
  </rowFields>
  <rowItems count="6">
    <i>
      <x/>
    </i>
    <i>
      <x v="1"/>
    </i>
    <i>
      <x v="3"/>
    </i>
    <i>
      <x v="5"/>
    </i>
    <i>
      <x v="7"/>
    </i>
    <i t="grand">
      <x/>
    </i>
  </rowItems>
  <colFields count="1">
    <field x="-2"/>
  </colFields>
  <colItems count="2">
    <i>
      <x/>
    </i>
    <i i="1">
      <x v="1"/>
    </i>
  </colItems>
  <pageFields count="1">
    <pageField fld="1" hier="-1"/>
  </pageFields>
  <dataFields count="2">
    <dataField name="Sum of Area" fld="4" baseField="0" baseItem="1" numFmtId="165"/>
    <dataField name="Sum of Mmbtus" fld="7" baseField="0" baseItem="0"/>
  </dataFields>
  <formats count="82">
    <format dxfId="163">
      <pivotArea outline="0" fieldPosition="0" collapsedLevelsAreSubtotals="1"/>
    </format>
    <format dxfId="162">
      <pivotArea outline="0" fieldPosition="0" collapsedLevelsAreSubtotals="1"/>
    </format>
    <format dxfId="161">
      <pivotArea outline="0" fieldPosition="0" collapsedLevelsAreSubtotals="1"/>
    </format>
    <format dxfId="160">
      <pivotArea outline="0" fieldPosition="0" collapsedLevelsAreSubtotals="1"/>
    </format>
    <format dxfId="159">
      <pivotArea outline="0" fieldPosition="0" collapsedLevelsAreSubtotals="1"/>
    </format>
    <format dxfId="158">
      <pivotArea outline="0" fieldPosition="0" dataOnly="0" type="all"/>
    </format>
    <format dxfId="157">
      <pivotArea outline="0" fieldPosition="0" collapsedLevelsAreSubtotals="1"/>
    </format>
    <format dxfId="156">
      <pivotArea outline="0" fieldPosition="0" axis="axisRow" dataOnly="0" field="0" labelOnly="1" type="button"/>
    </format>
    <format dxfId="155">
      <pivotArea outline="0" fieldPosition="0" axis="axisValues" dataOnly="0" labelOnly="1"/>
    </format>
    <format dxfId="154">
      <pivotArea outline="0" fieldPosition="0" dataOnly="0" labelOnly="1">
        <references count="1">
          <reference field="0" count="0"/>
        </references>
      </pivotArea>
    </format>
    <format dxfId="153">
      <pivotArea outline="0" fieldPosition="0" dataOnly="0" grandRow="1" labelOnly="1"/>
    </format>
    <format dxfId="152">
      <pivotArea outline="0" fieldPosition="0" axis="axisValues" dataOnly="0" labelOnly="1"/>
    </format>
    <format dxfId="151">
      <pivotArea outline="0" fieldPosition="0" dataOnly="0" type="all"/>
    </format>
    <format dxfId="150">
      <pivotArea outline="0" fieldPosition="0" collapsedLevelsAreSubtotals="1"/>
    </format>
    <format dxfId="149">
      <pivotArea outline="0" fieldPosition="0" axis="axisRow" dataOnly="0" field="0" labelOnly="1" type="button"/>
    </format>
    <format dxfId="148">
      <pivotArea outline="0" fieldPosition="0" axis="axisValues" dataOnly="0" labelOnly="1"/>
    </format>
    <format dxfId="147">
      <pivotArea outline="0" fieldPosition="0" dataOnly="0" labelOnly="1">
        <references count="1">
          <reference field="0" count="0"/>
        </references>
      </pivotArea>
    </format>
    <format dxfId="146">
      <pivotArea outline="0" fieldPosition="0" dataOnly="0" grandRow="1" labelOnly="1"/>
    </format>
    <format dxfId="145">
      <pivotArea outline="0" fieldPosition="0" axis="axisValues" dataOnly="0" labelOnly="1"/>
    </format>
    <format dxfId="144">
      <pivotArea outline="0" fieldPosition="0" dataOnly="0" type="all"/>
    </format>
    <format dxfId="143">
      <pivotArea outline="0" fieldPosition="0" collapsedLevelsAreSubtotals="1"/>
    </format>
    <format dxfId="142">
      <pivotArea outline="0" fieldPosition="0" axis="axisRow" dataOnly="0" field="0" labelOnly="1" type="button"/>
    </format>
    <format dxfId="141">
      <pivotArea outline="0" fieldPosition="0" axis="axisValues" dataOnly="0" labelOnly="1"/>
    </format>
    <format dxfId="140">
      <pivotArea outline="0" fieldPosition="0" dataOnly="0" labelOnly="1">
        <references count="1">
          <reference field="0" count="0"/>
        </references>
      </pivotArea>
    </format>
    <format dxfId="139">
      <pivotArea outline="0" fieldPosition="0" dataOnly="0" grandRow="1" labelOnly="1"/>
    </format>
    <format dxfId="138">
      <pivotArea outline="0" fieldPosition="0" axis="axisValues" dataOnly="0" labelOnly="1"/>
    </format>
    <format dxfId="137">
      <pivotArea outline="0" fieldPosition="0" collapsedLevelsAreSubtotals="1"/>
    </format>
    <format dxfId="136">
      <pivotArea outline="0" fieldPosition="0" dataOnly="0" labelOnly="1">
        <references count="1">
          <reference field="0" count="0"/>
        </references>
      </pivotArea>
    </format>
    <format dxfId="135">
      <pivotArea outline="0" fieldPosition="0" dataOnly="0" grandRow="1" labelOnly="1"/>
    </format>
    <format dxfId="134">
      <pivotArea outline="0" fieldPosition="0" collapsedLevelsAreSubtotals="1"/>
    </format>
    <format dxfId="133">
      <pivotArea outline="0" fieldPosition="0" dataOnly="0" labelOnly="1">
        <references count="1">
          <reference field="0" count="0"/>
        </references>
      </pivotArea>
    </format>
    <format dxfId="132">
      <pivotArea outline="0" fieldPosition="0" dataOnly="0" grandRow="1" labelOnly="1"/>
    </format>
    <format dxfId="131">
      <pivotArea outline="0" fieldPosition="0" dataOnly="0" type="all"/>
    </format>
    <format dxfId="130">
      <pivotArea outline="0" fieldPosition="0" collapsedLevelsAreSubtotals="1"/>
    </format>
    <format dxfId="129">
      <pivotArea outline="0" fieldPosition="0" axis="axisRow" dataOnly="0" field="0" labelOnly="1" type="button"/>
    </format>
    <format dxfId="128">
      <pivotArea outline="0" fieldPosition="0" axis="axisValues" dataOnly="0" labelOnly="1"/>
    </format>
    <format dxfId="127">
      <pivotArea outline="0" fieldPosition="0" dataOnly="0" labelOnly="1">
        <references count="1">
          <reference field="0" count="0"/>
        </references>
      </pivotArea>
    </format>
    <format dxfId="126">
      <pivotArea outline="0" fieldPosition="0" dataOnly="0" grandRow="1" labelOnly="1"/>
    </format>
    <format dxfId="125">
      <pivotArea outline="0" fieldPosition="0" axis="axisValues" dataOnly="0" labelOnly="1"/>
    </format>
    <format dxfId="124">
      <pivotArea outline="0" fieldPosition="0" dataOnly="0" type="all"/>
    </format>
    <format dxfId="123">
      <pivotArea outline="0" fieldPosition="0" collapsedLevelsAreSubtotals="1"/>
    </format>
    <format dxfId="122">
      <pivotArea outline="0" fieldPosition="0" axis="axisRow" dataOnly="0" field="0" labelOnly="1" type="button"/>
    </format>
    <format dxfId="121">
      <pivotArea outline="0" fieldPosition="0" axis="axisValues" dataOnly="0" labelOnly="1"/>
    </format>
    <format dxfId="120">
      <pivotArea outline="0" fieldPosition="0" dataOnly="0" labelOnly="1">
        <references count="1">
          <reference field="0" count="0"/>
        </references>
      </pivotArea>
    </format>
    <format dxfId="119">
      <pivotArea outline="0" fieldPosition="0" dataOnly="0" grandRow="1" labelOnly="1"/>
    </format>
    <format dxfId="118">
      <pivotArea outline="0" fieldPosition="0" axis="axisValues" dataOnly="0" labelOnly="1"/>
    </format>
    <format dxfId="117">
      <pivotArea outline="0" fieldPosition="0" dataOnly="0" type="all"/>
    </format>
    <format dxfId="116">
      <pivotArea outline="0" fieldPosition="0" collapsedLevelsAreSubtotals="1"/>
    </format>
    <format dxfId="115">
      <pivotArea outline="0" fieldPosition="0" axis="axisRow" dataOnly="0" field="0" labelOnly="1" type="button"/>
    </format>
    <format dxfId="114">
      <pivotArea outline="0" fieldPosition="0" axis="axisValues" dataOnly="0" labelOnly="1"/>
    </format>
    <format dxfId="113">
      <pivotArea outline="0" fieldPosition="0" dataOnly="0" labelOnly="1">
        <references count="1">
          <reference field="0" count="0"/>
        </references>
      </pivotArea>
    </format>
    <format dxfId="112">
      <pivotArea outline="0" fieldPosition="0" dataOnly="0" grandRow="1" labelOnly="1"/>
    </format>
    <format dxfId="111">
      <pivotArea outline="0" fieldPosition="0" axis="axisValues" dataOnly="0" labelOnly="1"/>
    </format>
    <format dxfId="110">
      <pivotArea outline="0" fieldPosition="0" collapsedLevelsAreSubtotals="1" grandRow="1"/>
    </format>
    <format dxfId="109">
      <pivotArea outline="0" fieldPosition="0" dataOnly="0" grandRow="1" labelOnly="1"/>
    </format>
    <format dxfId="108">
      <pivotArea outline="0" fieldPosition="0" collapsedLevelsAreSubtotals="1" grandRow="1"/>
    </format>
    <format dxfId="107">
      <pivotArea outline="0" fieldPosition="0" dataOnly="0" grandRow="1" labelOnly="1"/>
    </format>
    <format dxfId="106">
      <pivotArea outline="0" fieldPosition="0" collapsedLevelsAreSubtotals="1" grandRow="1"/>
    </format>
    <format dxfId="105">
      <pivotArea outline="0" fieldPosition="0" dataOnly="0" grandRow="1" labelOnly="1"/>
    </format>
    <format dxfId="104">
      <pivotArea outline="0" fieldPosition="0" dataOnly="0" type="all"/>
    </format>
    <format dxfId="103">
      <pivotArea outline="0" fieldPosition="0" collapsedLevelsAreSubtotals="1"/>
    </format>
    <format dxfId="102">
      <pivotArea outline="0" fieldPosition="0" axis="axisRow" dataOnly="0" field="0" labelOnly="1" type="button"/>
    </format>
    <format dxfId="101">
      <pivotArea outline="0" fieldPosition="0" axis="axisValues" dataOnly="0" labelOnly="1"/>
    </format>
    <format dxfId="100">
      <pivotArea outline="0" fieldPosition="0" dataOnly="0" labelOnly="1">
        <references count="1">
          <reference field="0" count="0"/>
        </references>
      </pivotArea>
    </format>
    <format dxfId="99">
      <pivotArea outline="0" fieldPosition="0" dataOnly="0" grandRow="1" labelOnly="1"/>
    </format>
    <format dxfId="98">
      <pivotArea outline="0" fieldPosition="0" axis="axisValues" dataOnly="0" labelOnly="1"/>
    </format>
    <format dxfId="97">
      <pivotArea outline="0" fieldPosition="0" collapsedLevelsAreSubtotals="1">
        <references count="1">
          <reference field="0" count="1">
            <x v="0"/>
          </reference>
        </references>
      </pivotArea>
    </format>
    <format dxfId="96">
      <pivotArea outline="0" fieldPosition="0" axis="axisRow" dataOnly="0" field="0" labelOnly="1" type="button"/>
    </format>
    <format dxfId="95">
      <pivotArea outline="0" fieldPosition="0" dataOnly="0" labelOnly="1">
        <references count="1">
          <reference field="0" count="1">
            <x v="0"/>
          </reference>
        </references>
      </pivotArea>
    </format>
    <format dxfId="94">
      <pivotArea outline="0" fieldPosition="0" dataOnly="0" labelOnly="1">
        <references count="1">
          <reference field="4294967294" count="2">
            <x v="0"/>
            <x v="1"/>
          </reference>
        </references>
      </pivotArea>
    </format>
    <format dxfId="93">
      <pivotArea outline="0" fieldPosition="0" dataOnly="0" type="all"/>
    </format>
    <format dxfId="92">
      <pivotArea outline="0" fieldPosition="0" collapsedLevelsAreSubtotals="1"/>
    </format>
    <format dxfId="91">
      <pivotArea outline="0" fieldPosition="0" axis="axisRow" dataOnly="0" field="0" labelOnly="1" type="button"/>
    </format>
    <format dxfId="90">
      <pivotArea outline="0" fieldPosition="0" dataOnly="0" labelOnly="1">
        <references count="1">
          <reference field="0" count="0"/>
        </references>
      </pivotArea>
    </format>
    <format dxfId="89">
      <pivotArea outline="0" fieldPosition="0" dataOnly="0" grandRow="1" labelOnly="1"/>
    </format>
    <format dxfId="88">
      <pivotArea outline="0" fieldPosition="0" dataOnly="0" labelOnly="1">
        <references count="1">
          <reference field="4294967294" count="2">
            <x v="0"/>
            <x v="1"/>
          </reference>
        </references>
      </pivotArea>
    </format>
    <format dxfId="87">
      <pivotArea outline="0" fieldPosition="0" dataOnly="0" type="all"/>
    </format>
    <format dxfId="86">
      <pivotArea outline="0" fieldPosition="0" collapsedLevelsAreSubtotals="1"/>
    </format>
    <format dxfId="85">
      <pivotArea outline="0" fieldPosition="0" axis="axisRow" dataOnly="0" field="0" labelOnly="1" type="button"/>
    </format>
    <format dxfId="84">
      <pivotArea outline="0" fieldPosition="0" dataOnly="0" labelOnly="1">
        <references count="1">
          <reference field="0" count="0"/>
        </references>
      </pivotArea>
    </format>
    <format dxfId="83">
      <pivotArea outline="0" fieldPosition="0" dataOnly="0" grandRow="1" labelOnly="1"/>
    </format>
    <format dxfId="82">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PivotTable2" cacheId="2"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D18:F24" firstHeaderRow="0" firstDataRow="1" firstDataCol="1" rowPageCount="1" colPageCount="1"/>
  <pivotFields count="15">
    <pivotField axis="axisRow" showAll="0" sortType="ascending">
      <items count="11">
        <item x="3"/>
        <item x="0"/>
        <item m="1" x="9"/>
        <item x="4"/>
        <item m="1" x="8"/>
        <item x="2"/>
        <item m="1" x="6"/>
        <item x="1"/>
        <item m="1" x="5"/>
        <item m="1" x="7"/>
        <item t="default"/>
      </items>
    </pivotField>
    <pivotField axis="axisPage" showAll="0" multipleItemSelectionAllowed="1">
      <items count="6">
        <item x="0"/>
        <item h="1" x="4"/>
        <item h="1" x="2"/>
        <item x="3"/>
        <item h="1" x="1"/>
        <item t="default"/>
      </items>
    </pivotField>
    <pivotField showAll="0"/>
    <pivotField showAll="0"/>
    <pivotField dataField="1" showAll="0"/>
    <pivotField showAll="0"/>
    <pivotField showAll="0"/>
    <pivotField dataField="1" showAll="0" defaultSubtotal="0"/>
    <pivotField showAll="0"/>
    <pivotField showAll="0"/>
    <pivotField showAll="0"/>
    <pivotField showAll="0"/>
    <pivotField showAll="0"/>
    <pivotField showAll="0"/>
    <pivotField showAll="0"/>
  </pivotFields>
  <rowFields count="1">
    <field x="0"/>
  </rowFields>
  <rowItems count="6">
    <i>
      <x/>
    </i>
    <i>
      <x v="1"/>
    </i>
    <i>
      <x v="3"/>
    </i>
    <i>
      <x v="5"/>
    </i>
    <i>
      <x v="7"/>
    </i>
    <i t="grand">
      <x/>
    </i>
  </rowItems>
  <colFields count="1">
    <field x="-2"/>
  </colFields>
  <colItems count="2">
    <i>
      <x/>
    </i>
    <i i="1">
      <x v="1"/>
    </i>
  </colItems>
  <pageFields count="1">
    <pageField fld="1" hier="-1"/>
  </pageFields>
  <dataFields count="2">
    <dataField name="Sum of Area" fld="4" baseField="0" baseItem="1" numFmtId="165"/>
    <dataField name="Sum of Mmbtus" fld="7" baseField="0" baseItem="0"/>
  </dataFields>
  <formats count="82">
    <format dxfId="245">
      <pivotArea outline="0" fieldPosition="0" collapsedLevelsAreSubtotals="1"/>
    </format>
    <format dxfId="244">
      <pivotArea outline="0" fieldPosition="0" collapsedLevelsAreSubtotals="1"/>
    </format>
    <format dxfId="243">
      <pivotArea outline="0" fieldPosition="0" collapsedLevelsAreSubtotals="1"/>
    </format>
    <format dxfId="242">
      <pivotArea outline="0" fieldPosition="0" collapsedLevelsAreSubtotals="1"/>
    </format>
    <format dxfId="241">
      <pivotArea outline="0" fieldPosition="0" collapsedLevelsAreSubtotals="1"/>
    </format>
    <format dxfId="240">
      <pivotArea outline="0" fieldPosition="0" dataOnly="0" type="all"/>
    </format>
    <format dxfId="239">
      <pivotArea outline="0" fieldPosition="0" collapsedLevelsAreSubtotals="1"/>
    </format>
    <format dxfId="238">
      <pivotArea outline="0" fieldPosition="0" axis="axisRow" dataOnly="0" field="0" labelOnly="1" type="button"/>
    </format>
    <format dxfId="237">
      <pivotArea outline="0" fieldPosition="0" axis="axisValues" dataOnly="0" labelOnly="1"/>
    </format>
    <format dxfId="236">
      <pivotArea outline="0" fieldPosition="0" dataOnly="0" labelOnly="1">
        <references count="1">
          <reference field="0" count="0"/>
        </references>
      </pivotArea>
    </format>
    <format dxfId="235">
      <pivotArea outline="0" fieldPosition="0" dataOnly="0" grandRow="1" labelOnly="1"/>
    </format>
    <format dxfId="234">
      <pivotArea outline="0" fieldPosition="0" axis="axisValues" dataOnly="0" labelOnly="1"/>
    </format>
    <format dxfId="233">
      <pivotArea outline="0" fieldPosition="0" dataOnly="0" type="all"/>
    </format>
    <format dxfId="232">
      <pivotArea outline="0" fieldPosition="0" collapsedLevelsAreSubtotals="1"/>
    </format>
    <format dxfId="231">
      <pivotArea outline="0" fieldPosition="0" axis="axisRow" dataOnly="0" field="0" labelOnly="1" type="button"/>
    </format>
    <format dxfId="230">
      <pivotArea outline="0" fieldPosition="0" axis="axisValues" dataOnly="0" labelOnly="1"/>
    </format>
    <format dxfId="229">
      <pivotArea outline="0" fieldPosition="0" dataOnly="0" labelOnly="1">
        <references count="1">
          <reference field="0" count="0"/>
        </references>
      </pivotArea>
    </format>
    <format dxfId="228">
      <pivotArea outline="0" fieldPosition="0" dataOnly="0" grandRow="1" labelOnly="1"/>
    </format>
    <format dxfId="227">
      <pivotArea outline="0" fieldPosition="0" axis="axisValues" dataOnly="0" labelOnly="1"/>
    </format>
    <format dxfId="226">
      <pivotArea outline="0" fieldPosition="0" dataOnly="0" type="all"/>
    </format>
    <format dxfId="225">
      <pivotArea outline="0" fieldPosition="0" collapsedLevelsAreSubtotals="1"/>
    </format>
    <format dxfId="224">
      <pivotArea outline="0" fieldPosition="0" axis="axisRow" dataOnly="0" field="0" labelOnly="1" type="button"/>
    </format>
    <format dxfId="223">
      <pivotArea outline="0" fieldPosition="0" axis="axisValues" dataOnly="0" labelOnly="1"/>
    </format>
    <format dxfId="222">
      <pivotArea outline="0" fieldPosition="0" dataOnly="0" labelOnly="1">
        <references count="1">
          <reference field="0" count="0"/>
        </references>
      </pivotArea>
    </format>
    <format dxfId="221">
      <pivotArea outline="0" fieldPosition="0" dataOnly="0" grandRow="1" labelOnly="1"/>
    </format>
    <format dxfId="220">
      <pivotArea outline="0" fieldPosition="0" axis="axisValues" dataOnly="0" labelOnly="1"/>
    </format>
    <format dxfId="219">
      <pivotArea outline="0" fieldPosition="0" collapsedLevelsAreSubtotals="1"/>
    </format>
    <format dxfId="218">
      <pivotArea outline="0" fieldPosition="0" dataOnly="0" labelOnly="1">
        <references count="1">
          <reference field="0" count="0"/>
        </references>
      </pivotArea>
    </format>
    <format dxfId="217">
      <pivotArea outline="0" fieldPosition="0" dataOnly="0" grandRow="1" labelOnly="1"/>
    </format>
    <format dxfId="216">
      <pivotArea outline="0" fieldPosition="0" collapsedLevelsAreSubtotals="1"/>
    </format>
    <format dxfId="215">
      <pivotArea outline="0" fieldPosition="0" dataOnly="0" labelOnly="1">
        <references count="1">
          <reference field="0" count="0"/>
        </references>
      </pivotArea>
    </format>
    <format dxfId="214">
      <pivotArea outline="0" fieldPosition="0" dataOnly="0" grandRow="1" labelOnly="1"/>
    </format>
    <format dxfId="213">
      <pivotArea outline="0" fieldPosition="0" dataOnly="0" type="all"/>
    </format>
    <format dxfId="212">
      <pivotArea outline="0" fieldPosition="0" collapsedLevelsAreSubtotals="1"/>
    </format>
    <format dxfId="211">
      <pivotArea outline="0" fieldPosition="0" axis="axisRow" dataOnly="0" field="0" labelOnly="1" type="button"/>
    </format>
    <format dxfId="210">
      <pivotArea outline="0" fieldPosition="0" axis="axisValues" dataOnly="0" labelOnly="1"/>
    </format>
    <format dxfId="209">
      <pivotArea outline="0" fieldPosition="0" dataOnly="0" labelOnly="1">
        <references count="1">
          <reference field="0" count="0"/>
        </references>
      </pivotArea>
    </format>
    <format dxfId="208">
      <pivotArea outline="0" fieldPosition="0" dataOnly="0" grandRow="1" labelOnly="1"/>
    </format>
    <format dxfId="207">
      <pivotArea outline="0" fieldPosition="0" axis="axisValues" dataOnly="0" labelOnly="1"/>
    </format>
    <format dxfId="206">
      <pivotArea outline="0" fieldPosition="0" dataOnly="0" type="all"/>
    </format>
    <format dxfId="205">
      <pivotArea outline="0" fieldPosition="0" collapsedLevelsAreSubtotals="1"/>
    </format>
    <format dxfId="204">
      <pivotArea outline="0" fieldPosition="0" axis="axisRow" dataOnly="0" field="0" labelOnly="1" type="button"/>
    </format>
    <format dxfId="203">
      <pivotArea outline="0" fieldPosition="0" axis="axisValues" dataOnly="0" labelOnly="1"/>
    </format>
    <format dxfId="202">
      <pivotArea outline="0" fieldPosition="0" dataOnly="0" labelOnly="1">
        <references count="1">
          <reference field="0" count="0"/>
        </references>
      </pivotArea>
    </format>
    <format dxfId="201">
      <pivotArea outline="0" fieldPosition="0" dataOnly="0" grandRow="1" labelOnly="1"/>
    </format>
    <format dxfId="200">
      <pivotArea outline="0" fieldPosition="0" axis="axisValues" dataOnly="0" labelOnly="1"/>
    </format>
    <format dxfId="199">
      <pivotArea outline="0" fieldPosition="0" dataOnly="0" type="all"/>
    </format>
    <format dxfId="198">
      <pivotArea outline="0" fieldPosition="0" collapsedLevelsAreSubtotals="1"/>
    </format>
    <format dxfId="197">
      <pivotArea outline="0" fieldPosition="0" axis="axisRow" dataOnly="0" field="0" labelOnly="1" type="button"/>
    </format>
    <format dxfId="196">
      <pivotArea outline="0" fieldPosition="0" axis="axisValues" dataOnly="0" labelOnly="1"/>
    </format>
    <format dxfId="195">
      <pivotArea outline="0" fieldPosition="0" dataOnly="0" labelOnly="1">
        <references count="1">
          <reference field="0" count="0"/>
        </references>
      </pivotArea>
    </format>
    <format dxfId="194">
      <pivotArea outline="0" fieldPosition="0" dataOnly="0" grandRow="1" labelOnly="1"/>
    </format>
    <format dxfId="193">
      <pivotArea outline="0" fieldPosition="0" axis="axisValues" dataOnly="0" labelOnly="1"/>
    </format>
    <format dxfId="192">
      <pivotArea outline="0" fieldPosition="0" collapsedLevelsAreSubtotals="1" grandRow="1"/>
    </format>
    <format dxfId="191">
      <pivotArea outline="0" fieldPosition="0" dataOnly="0" grandRow="1" labelOnly="1"/>
    </format>
    <format dxfId="190">
      <pivotArea outline="0" fieldPosition="0" collapsedLevelsAreSubtotals="1" grandRow="1"/>
    </format>
    <format dxfId="189">
      <pivotArea outline="0" fieldPosition="0" dataOnly="0" grandRow="1" labelOnly="1"/>
    </format>
    <format dxfId="188">
      <pivotArea outline="0" fieldPosition="0" collapsedLevelsAreSubtotals="1" grandRow="1"/>
    </format>
    <format dxfId="187">
      <pivotArea outline="0" fieldPosition="0" dataOnly="0" grandRow="1" labelOnly="1"/>
    </format>
    <format dxfId="186">
      <pivotArea outline="0" fieldPosition="0" dataOnly="0" type="all"/>
    </format>
    <format dxfId="185">
      <pivotArea outline="0" fieldPosition="0" collapsedLevelsAreSubtotals="1"/>
    </format>
    <format dxfId="184">
      <pivotArea outline="0" fieldPosition="0" axis="axisRow" dataOnly="0" field="0" labelOnly="1" type="button"/>
    </format>
    <format dxfId="183">
      <pivotArea outline="0" fieldPosition="0" axis="axisValues" dataOnly="0" labelOnly="1"/>
    </format>
    <format dxfId="182">
      <pivotArea outline="0" fieldPosition="0" dataOnly="0" labelOnly="1">
        <references count="1">
          <reference field="0" count="0"/>
        </references>
      </pivotArea>
    </format>
    <format dxfId="181">
      <pivotArea outline="0" fieldPosition="0" dataOnly="0" grandRow="1" labelOnly="1"/>
    </format>
    <format dxfId="180">
      <pivotArea outline="0" fieldPosition="0" axis="axisValues" dataOnly="0" labelOnly="1"/>
    </format>
    <format dxfId="179">
      <pivotArea outline="0" fieldPosition="0" collapsedLevelsAreSubtotals="1">
        <references count="1">
          <reference field="0" count="1">
            <x v="0"/>
          </reference>
        </references>
      </pivotArea>
    </format>
    <format dxfId="178">
      <pivotArea outline="0" fieldPosition="0" axis="axisRow" dataOnly="0" field="0" labelOnly="1" type="button"/>
    </format>
    <format dxfId="177">
      <pivotArea outline="0" fieldPosition="0" dataOnly="0" labelOnly="1">
        <references count="1">
          <reference field="0" count="1">
            <x v="0"/>
          </reference>
        </references>
      </pivotArea>
    </format>
    <format dxfId="176">
      <pivotArea outline="0" fieldPosition="0" dataOnly="0" labelOnly="1">
        <references count="1">
          <reference field="4294967294" count="2">
            <x v="0"/>
            <x v="1"/>
          </reference>
        </references>
      </pivotArea>
    </format>
    <format dxfId="175">
      <pivotArea outline="0" fieldPosition="0" dataOnly="0" type="all"/>
    </format>
    <format dxfId="174">
      <pivotArea outline="0" fieldPosition="0" collapsedLevelsAreSubtotals="1"/>
    </format>
    <format dxfId="173">
      <pivotArea outline="0" fieldPosition="0" axis="axisRow" dataOnly="0" field="0" labelOnly="1" type="button"/>
    </format>
    <format dxfId="172">
      <pivotArea outline="0" fieldPosition="0" dataOnly="0" labelOnly="1">
        <references count="1">
          <reference field="0" count="0"/>
        </references>
      </pivotArea>
    </format>
    <format dxfId="171">
      <pivotArea outline="0" fieldPosition="0" dataOnly="0" grandRow="1" labelOnly="1"/>
    </format>
    <format dxfId="170">
      <pivotArea outline="0" fieldPosition="0" dataOnly="0" labelOnly="1">
        <references count="1">
          <reference field="4294967294" count="2">
            <x v="0"/>
            <x v="1"/>
          </reference>
        </references>
      </pivotArea>
    </format>
    <format dxfId="169">
      <pivotArea outline="0" fieldPosition="0" dataOnly="0" type="all"/>
    </format>
    <format dxfId="168">
      <pivotArea outline="0" fieldPosition="0" collapsedLevelsAreSubtotals="1"/>
    </format>
    <format dxfId="167">
      <pivotArea outline="0" fieldPosition="0" axis="axisRow" dataOnly="0" field="0" labelOnly="1" type="button"/>
    </format>
    <format dxfId="166">
      <pivotArea outline="0" fieldPosition="0" dataOnly="0" labelOnly="1">
        <references count="1">
          <reference field="0" count="0"/>
        </references>
      </pivotArea>
    </format>
    <format dxfId="165">
      <pivotArea outline="0" fieldPosition="0" dataOnly="0" grandRow="1" labelOnly="1"/>
    </format>
    <format dxfId="164">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chool_Type" sourceName="School Type">
  <pivotTables>
    <pivotTable tabId="2" name="PivotTable4"/>
  </pivotTables>
  <data>
    <tabular pivotCacheId="3">
      <items count="10">
        <i x="3" s="1"/>
        <i x="0" s="1"/>
        <i x="4" s="1"/>
        <i x="2" s="1"/>
        <i x="1" s="1"/>
        <i x="9" nd="1"/>
        <i x="8" nd="1"/>
        <i x="6" nd="1"/>
        <i x="5" nd="1"/>
        <i x="7"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Utility" sourceName="Utility">
  <pivotTables>
    <pivotTable tabId="2" name="PivotTable4"/>
  </pivotTables>
  <data>
    <tabular pivotCacheId="3">
      <items count="5">
        <i x="0" s="1"/>
        <i x="4" s="1"/>
        <i x="2" s="1"/>
        <i x="3"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Utility1" sourceName="Utility">
  <pivotTables>
    <pivotTable tabId="8" name="PivotTable4"/>
  </pivotTables>
  <data>
    <tabular pivotCacheId="3" sortOrder="descending">
      <items count="5">
        <i x="1" s="1"/>
        <i x="3" s="1"/>
        <i x="2" s="1"/>
        <i x="4"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Utility2" sourceName="Utility">
  <pivotTables>
    <pivotTable tabId="9" name="PivotTable2"/>
  </pivotTables>
  <data>
    <tabular pivotCacheId="3">
      <items count="5">
        <i x="0" s="1"/>
        <i x="4"/>
        <i x="2"/>
        <i x="3" s="1"/>
        <i x="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chool_Type1" sourceName="School Type">
  <pivotTables>
    <pivotTable tabId="9" name="PivotTable2"/>
  </pivotTables>
  <data>
    <tabular pivotCacheId="3">
      <items count="10">
        <i x="3" s="1"/>
        <i x="0" s="1"/>
        <i x="4" s="1"/>
        <i x="2" s="1"/>
        <i x="1" s="1"/>
        <i x="9" s="1" nd="1"/>
        <i x="8" s="1" nd="1"/>
        <i x="6" s="1" nd="1"/>
        <i x="5" s="1" nd="1"/>
        <i x="7"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Utility21" sourceName="Utility">
  <pivotTables>
    <pivotTable tabId="18" name="PivotTable2"/>
  </pivotTables>
  <data>
    <tabular pivotCacheId="3">
      <items count="5">
        <i x="0" s="1"/>
        <i x="4"/>
        <i x="2"/>
        <i x="3" s="1"/>
        <i x="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School_Type11" sourceName="School Type">
  <pivotTables>
    <pivotTable tabId="18" name="PivotTable2"/>
  </pivotTables>
  <data>
    <tabular pivotCacheId="3">
      <items count="10">
        <i x="3" s="1"/>
        <i x="0" s="1"/>
        <i x="4" s="1"/>
        <i x="2" s="1"/>
        <i x="1" s="1"/>
        <i x="9" s="1" nd="1"/>
        <i x="8" s="1" nd="1"/>
        <i x="6" s="1" nd="1"/>
        <i x="5" s="1" nd="1"/>
        <i x="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chool Type" cache="Slicer_School_Type" caption="School Type" rowHeight="304800"/>
  <slicer name="Utility" cache="Slicer_Utility" caption="Utility" rowHeight="304800"/>
</slicers>
</file>

<file path=xl/slicers/slicer2.xml><?xml version="1.0" encoding="utf-8"?>
<slicers xmlns="http://schemas.microsoft.com/office/spreadsheetml/2009/9/main" xmlns:mc="http://schemas.openxmlformats.org/markup-compatibility/2006" xmlns:x="http://schemas.openxmlformats.org/spreadsheetml/2006/main" mc:Ignorable="x">
  <slicer name="Utility 1" cache="Slicer_Utility1" caption="Utility" rowHeight="304800" style="SlicerStyleOther2"/>
</slicers>
</file>

<file path=xl/slicers/slicer3.xml><?xml version="1.0" encoding="utf-8"?>
<slicers xmlns="http://schemas.microsoft.com/office/spreadsheetml/2009/9/main" xmlns:mc="http://schemas.openxmlformats.org/markup-compatibility/2006" xmlns:x="http://schemas.openxmlformats.org/spreadsheetml/2006/main" mc:Ignorable="x">
  <slicer name="Utility 2" cache="Slicer_Utility2" caption="Utility" rowHeight="300265"/>
  <slicer name="School Type 1" cache="Slicer_School_Type1" caption="School Type" rowHeight="300265"/>
</slicers>
</file>

<file path=xl/slicers/slicer4.xml><?xml version="1.0" encoding="utf-8"?>
<slicers xmlns="http://schemas.microsoft.com/office/spreadsheetml/2009/9/main" xmlns:mc="http://schemas.openxmlformats.org/markup-compatibility/2006" xmlns:x="http://schemas.openxmlformats.org/spreadsheetml/2006/main" mc:Ignorable="x">
  <slicer name="Utility 3" cache="Slicer_Utility21" caption="Utility" rowHeight="300265"/>
  <slicer name="School Type 2" cache="Slicer_School_Type11" caption="School Type" rowHeight="30026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 Id="rId3" Type="http://schemas.openxmlformats.org/officeDocument/2006/relationships/pivotTable" Target="../pivotTables/pivotTable22.xml" /><Relationship Id="rId4" Type="http://schemas.openxmlformats.org/officeDocument/2006/relationships/pivotTable" Target="../pivotTables/pivotTable23.xml" /><Relationship Id="rId5" Type="http://schemas.openxmlformats.org/officeDocument/2006/relationships/pivotTable" Target="../pivotTables/pivotTable24.xml" /><Relationship Id="rId6" Type="http://schemas.microsoft.com/office/2007/relationships/slicer" Target="/xl/slicers/slicer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14.xml" /><Relationship Id="rId4" Type="http://schemas.openxmlformats.org/officeDocument/2006/relationships/pivotTable" Target="../pivotTables/pivotTable15.xml" /><Relationship Id="rId5" Type="http://schemas.microsoft.com/office/2007/relationships/slicer" Target="/xl/slicers/slicer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 Id="rId5" Type="http://schemas.openxmlformats.org/officeDocument/2006/relationships/pivotTable" Target="../pivotTables/pivotTable16.xml" /><Relationship Id="rId6" Type="http://schemas.openxmlformats.org/officeDocument/2006/relationships/pivotTable" Target="../pivotTables/pivotTable17.xml" /><Relationship Id="rId7" Type="http://schemas.openxmlformats.org/officeDocument/2006/relationships/pivotTable" Target="../pivotTables/pivotTable18.xml" /><Relationship Id="rId8" Type="http://schemas.microsoft.com/office/2007/relationships/slicer" Target="/xl/slicers/slicer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 Id="rId3" Type="http://schemas.openxmlformats.org/officeDocument/2006/relationships/pivotTable" Target="../pivotTables/pivotTable19.xml" /><Relationship Id="rId4" Type="http://schemas.openxmlformats.org/officeDocument/2006/relationships/pivotTable" Target="../pivotTables/pivotTable20.xml" /><Relationship Id="rId5" Type="http://schemas.openxmlformats.org/officeDocument/2006/relationships/pivotTable" Target="../pivotTables/pivotTable21.xml" /><Relationship Id="rId6" Type="http://schemas.microsoft.com/office/2007/relationships/slicer" Target="/xl/slicers/slicer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26"/>
  <sheetViews>
    <sheetView workbookViewId="0" topLeftCell="A115">
      <selection activeCell="B126" sqref="B126"/>
    </sheetView>
  </sheetViews>
  <sheetFormatPr defaultColWidth="8.796875" defaultRowHeight="18.75"/>
  <cols>
    <col min="1" max="1" width="15.3984375" style="0" bestFit="1" customWidth="1"/>
  </cols>
  <sheetData>
    <row r="1" spans="1:4" ht="18.75">
      <c r="A1" s="190" t="s">
        <v>31</v>
      </c>
      <c r="B1" s="190" t="s">
        <v>15</v>
      </c>
      <c r="C1" s="190" t="s">
        <v>32</v>
      </c>
      <c r="D1" s="190"/>
    </row>
    <row r="2" spans="1:4" ht="18.75">
      <c r="A2" s="190" t="s">
        <v>31</v>
      </c>
      <c r="B2" s="190" t="s">
        <v>15</v>
      </c>
      <c r="C2" s="190" t="s">
        <v>33</v>
      </c>
      <c r="D2" s="190"/>
    </row>
    <row r="3" spans="1:4" ht="18.75">
      <c r="A3" s="190" t="s">
        <v>31</v>
      </c>
      <c r="B3" s="190" t="s">
        <v>15</v>
      </c>
      <c r="C3" s="190" t="s">
        <v>37</v>
      </c>
      <c r="D3" s="190"/>
    </row>
    <row r="4" spans="1:4" ht="18.75">
      <c r="A4" s="190" t="s">
        <v>31</v>
      </c>
      <c r="B4" s="190" t="s">
        <v>15</v>
      </c>
      <c r="C4" s="190" t="s">
        <v>41</v>
      </c>
      <c r="D4" s="190"/>
    </row>
    <row r="5" spans="1:4" ht="18.75">
      <c r="A5" s="190" t="s">
        <v>31</v>
      </c>
      <c r="B5" s="190" t="s">
        <v>15</v>
      </c>
      <c r="C5" s="190" t="s">
        <v>45</v>
      </c>
      <c r="D5" s="190"/>
    </row>
    <row r="6" spans="1:4" ht="18.75">
      <c r="A6" s="190" t="s">
        <v>31</v>
      </c>
      <c r="B6" s="190" t="s">
        <v>15</v>
      </c>
      <c r="C6" s="190" t="s">
        <v>47</v>
      </c>
      <c r="D6" s="190"/>
    </row>
    <row r="7" spans="1:4" ht="18.75">
      <c r="A7" s="190" t="s">
        <v>31</v>
      </c>
      <c r="B7" s="190" t="s">
        <v>15</v>
      </c>
      <c r="C7" s="190" t="s">
        <v>58</v>
      </c>
      <c r="D7" s="190"/>
    </row>
    <row r="8" spans="1:4" ht="18.75">
      <c r="A8" s="190" t="s">
        <v>31</v>
      </c>
      <c r="B8" s="190" t="s">
        <v>15</v>
      </c>
      <c r="C8" s="190" t="s">
        <v>59</v>
      </c>
      <c r="D8" s="190"/>
    </row>
    <row r="9" spans="1:4" ht="18.75">
      <c r="A9" s="190" t="s">
        <v>31</v>
      </c>
      <c r="B9" s="190" t="s">
        <v>15</v>
      </c>
      <c r="C9" s="190" t="s">
        <v>60</v>
      </c>
      <c r="D9" s="190"/>
    </row>
    <row r="10" spans="1:4" ht="18.75">
      <c r="A10" s="190" t="s">
        <v>31</v>
      </c>
      <c r="B10" s="190" t="s">
        <v>15</v>
      </c>
      <c r="C10" s="190" t="s">
        <v>63</v>
      </c>
      <c r="D10" s="190"/>
    </row>
    <row r="11" spans="1:4" ht="18.75">
      <c r="A11" s="190" t="s">
        <v>31</v>
      </c>
      <c r="B11" s="190" t="s">
        <v>15</v>
      </c>
      <c r="C11" s="190" t="s">
        <v>64</v>
      </c>
      <c r="D11" s="190"/>
    </row>
    <row r="12" spans="1:4" ht="18.75">
      <c r="A12" s="190" t="s">
        <v>31</v>
      </c>
      <c r="B12" s="190" t="s">
        <v>15</v>
      </c>
      <c r="C12" s="190" t="s">
        <v>65</v>
      </c>
      <c r="D12" s="190"/>
    </row>
    <row r="13" spans="1:4" ht="18.75">
      <c r="A13" s="190" t="s">
        <v>31</v>
      </c>
      <c r="B13" s="190" t="s">
        <v>15</v>
      </c>
      <c r="C13" s="190" t="s">
        <v>68</v>
      </c>
      <c r="D13" s="190"/>
    </row>
    <row r="14" spans="1:4" ht="18.75">
      <c r="A14" s="190" t="s">
        <v>31</v>
      </c>
      <c r="B14" s="190" t="s">
        <v>15</v>
      </c>
      <c r="C14" s="190" t="s">
        <v>69</v>
      </c>
      <c r="D14" s="190"/>
    </row>
    <row r="15" spans="1:4" ht="18.75">
      <c r="A15" s="190" t="s">
        <v>31</v>
      </c>
      <c r="B15" s="190" t="s">
        <v>15</v>
      </c>
      <c r="C15" s="190" t="s">
        <v>84</v>
      </c>
      <c r="D15" s="190"/>
    </row>
    <row r="16" spans="1:4" ht="18.75">
      <c r="A16" s="190" t="s">
        <v>31</v>
      </c>
      <c r="B16" s="190" t="s">
        <v>15</v>
      </c>
      <c r="C16" s="190" t="s">
        <v>85</v>
      </c>
      <c r="D16" s="190"/>
    </row>
    <row r="17" spans="1:4" ht="18.75">
      <c r="A17" s="190" t="s">
        <v>31</v>
      </c>
      <c r="B17" s="190" t="s">
        <v>15</v>
      </c>
      <c r="C17" s="190" t="s">
        <v>86</v>
      </c>
      <c r="D17" s="190"/>
    </row>
    <row r="18" spans="1:4" ht="18.75">
      <c r="A18" s="190" t="s">
        <v>31</v>
      </c>
      <c r="B18" s="190" t="s">
        <v>15</v>
      </c>
      <c r="C18" s="190" t="s">
        <v>87</v>
      </c>
      <c r="D18" s="190"/>
    </row>
    <row r="19" spans="1:4" ht="18.75">
      <c r="A19" s="190" t="s">
        <v>31</v>
      </c>
      <c r="B19" s="190" t="s">
        <v>15</v>
      </c>
      <c r="C19" s="190" t="s">
        <v>88</v>
      </c>
      <c r="D19" s="190"/>
    </row>
    <row r="20" spans="1:4" ht="18.75">
      <c r="A20" s="190" t="s">
        <v>31</v>
      </c>
      <c r="B20" s="190" t="s">
        <v>15</v>
      </c>
      <c r="C20" s="190" t="s">
        <v>89</v>
      </c>
      <c r="D20" s="190"/>
    </row>
    <row r="21" spans="1:4" ht="18.75">
      <c r="A21" s="190" t="s">
        <v>31</v>
      </c>
      <c r="B21" s="190" t="s">
        <v>15</v>
      </c>
      <c r="C21" s="190" t="s">
        <v>90</v>
      </c>
      <c r="D21" s="190"/>
    </row>
    <row r="22" spans="1:4" ht="18.75">
      <c r="A22" s="190" t="s">
        <v>31</v>
      </c>
      <c r="B22" s="190" t="s">
        <v>15</v>
      </c>
      <c r="C22" s="190" t="s">
        <v>91</v>
      </c>
      <c r="D22" s="190"/>
    </row>
    <row r="23" spans="1:4" ht="18.75">
      <c r="A23" s="190" t="s">
        <v>31</v>
      </c>
      <c r="B23" s="190" t="s">
        <v>15</v>
      </c>
      <c r="C23" s="190" t="s">
        <v>92</v>
      </c>
      <c r="D23" s="190"/>
    </row>
    <row r="24" spans="1:4" ht="18.75">
      <c r="A24" s="190" t="s">
        <v>31</v>
      </c>
      <c r="B24" s="190" t="s">
        <v>15</v>
      </c>
      <c r="C24" s="190" t="s">
        <v>94</v>
      </c>
      <c r="D24" s="190"/>
    </row>
    <row r="25" spans="1:4" ht="18.75">
      <c r="A25" s="190" t="s">
        <v>31</v>
      </c>
      <c r="B25" s="190" t="s">
        <v>15</v>
      </c>
      <c r="C25" s="190" t="s">
        <v>102</v>
      </c>
      <c r="D25" s="190"/>
    </row>
    <row r="26" spans="1:4" ht="18.75">
      <c r="A26" s="190" t="s">
        <v>31</v>
      </c>
      <c r="B26" s="190" t="s">
        <v>15</v>
      </c>
      <c r="C26" s="190" t="s">
        <v>106</v>
      </c>
      <c r="D26" s="190"/>
    </row>
    <row r="27" spans="1:4" ht="18.75">
      <c r="A27" s="190" t="s">
        <v>31</v>
      </c>
      <c r="B27" s="190" t="s">
        <v>15</v>
      </c>
      <c r="C27" s="190" t="s">
        <v>111</v>
      </c>
      <c r="D27" s="190"/>
    </row>
    <row r="28" spans="1:4" ht="18.75">
      <c r="A28" s="190" t="s">
        <v>31</v>
      </c>
      <c r="B28" s="190" t="s">
        <v>15</v>
      </c>
      <c r="C28" s="190" t="s">
        <v>112</v>
      </c>
      <c r="D28" s="190"/>
    </row>
    <row r="29" spans="1:4" ht="18.75">
      <c r="A29" s="190" t="s">
        <v>31</v>
      </c>
      <c r="B29" s="190" t="s">
        <v>15</v>
      </c>
      <c r="C29" s="190" t="s">
        <v>118</v>
      </c>
      <c r="D29" s="190"/>
    </row>
    <row r="30" spans="1:4" ht="18.75">
      <c r="A30" s="190" t="s">
        <v>31</v>
      </c>
      <c r="B30" s="190" t="s">
        <v>15</v>
      </c>
      <c r="C30" s="190" t="s">
        <v>119</v>
      </c>
      <c r="D30" s="190"/>
    </row>
    <row r="31" spans="1:4" ht="18.75">
      <c r="A31" s="190" t="s">
        <v>31</v>
      </c>
      <c r="B31" s="190" t="s">
        <v>15</v>
      </c>
      <c r="C31" s="190" t="s">
        <v>126</v>
      </c>
      <c r="D31" s="190"/>
    </row>
    <row r="32" spans="1:4" ht="18.75">
      <c r="A32" s="190" t="s">
        <v>31</v>
      </c>
      <c r="B32" s="190" t="s">
        <v>15</v>
      </c>
      <c r="C32" s="190" t="s">
        <v>131</v>
      </c>
      <c r="D32" s="190"/>
    </row>
    <row r="33" spans="1:4" ht="18.75">
      <c r="A33" s="190" t="s">
        <v>31</v>
      </c>
      <c r="B33" s="190" t="s">
        <v>15</v>
      </c>
      <c r="C33" s="190" t="s">
        <v>139</v>
      </c>
      <c r="D33" s="190"/>
    </row>
    <row r="34" spans="1:4" ht="18.75">
      <c r="A34" s="190" t="s">
        <v>31</v>
      </c>
      <c r="B34" s="190" t="s">
        <v>15</v>
      </c>
      <c r="C34" s="190" t="s">
        <v>140</v>
      </c>
      <c r="D34" s="190"/>
    </row>
    <row r="35" spans="1:3" ht="18.75">
      <c r="A35" s="191" t="s">
        <v>14</v>
      </c>
      <c r="B35" s="191" t="s">
        <v>15</v>
      </c>
      <c r="C35" s="191" t="s">
        <v>16</v>
      </c>
    </row>
    <row r="36" spans="1:3" ht="18.75">
      <c r="A36" s="191" t="s">
        <v>14</v>
      </c>
      <c r="B36" s="191" t="s">
        <v>15</v>
      </c>
      <c r="C36" s="191" t="s">
        <v>22</v>
      </c>
    </row>
    <row r="37" spans="1:3" ht="18.75">
      <c r="A37" s="191" t="s">
        <v>14</v>
      </c>
      <c r="B37" s="191" t="s">
        <v>15</v>
      </c>
      <c r="C37" s="191" t="s">
        <v>28</v>
      </c>
    </row>
    <row r="38" spans="1:3" ht="18.75">
      <c r="A38" s="191" t="s">
        <v>14</v>
      </c>
      <c r="B38" s="191" t="s">
        <v>15</v>
      </c>
      <c r="C38" s="191" t="s">
        <v>29</v>
      </c>
    </row>
    <row r="39" spans="1:3" ht="18.75">
      <c r="A39" s="191" t="s">
        <v>14</v>
      </c>
      <c r="B39" s="191" t="s">
        <v>15</v>
      </c>
      <c r="C39" s="191" t="s">
        <v>30</v>
      </c>
    </row>
    <row r="40" spans="1:3" ht="18.75">
      <c r="A40" s="191" t="s">
        <v>14</v>
      </c>
      <c r="B40" s="191" t="s">
        <v>15</v>
      </c>
      <c r="C40" s="191" t="s">
        <v>34</v>
      </c>
    </row>
    <row r="41" spans="1:3" ht="18.75">
      <c r="A41" s="191" t="s">
        <v>14</v>
      </c>
      <c r="B41" s="191" t="s">
        <v>15</v>
      </c>
      <c r="C41" s="191" t="s">
        <v>35</v>
      </c>
    </row>
    <row r="42" spans="1:3" ht="18.75">
      <c r="A42" s="191" t="s">
        <v>14</v>
      </c>
      <c r="B42" s="191" t="s">
        <v>15</v>
      </c>
      <c r="C42" s="191" t="s">
        <v>43</v>
      </c>
    </row>
    <row r="43" spans="1:3" ht="18.75">
      <c r="A43" s="191" t="s">
        <v>14</v>
      </c>
      <c r="B43" s="191" t="s">
        <v>15</v>
      </c>
      <c r="C43" s="191" t="s">
        <v>55</v>
      </c>
    </row>
    <row r="44" spans="1:3" ht="18.75">
      <c r="A44" s="191" t="s">
        <v>14</v>
      </c>
      <c r="B44" s="191" t="s">
        <v>15</v>
      </c>
      <c r="C44" s="191" t="s">
        <v>57</v>
      </c>
    </row>
    <row r="45" spans="1:3" ht="18.75">
      <c r="A45" s="191" t="s">
        <v>14</v>
      </c>
      <c r="B45" s="191" t="s">
        <v>15</v>
      </c>
      <c r="C45" s="191" t="s">
        <v>61</v>
      </c>
    </row>
    <row r="46" spans="1:3" ht="18.75">
      <c r="A46" s="191" t="s">
        <v>14</v>
      </c>
      <c r="B46" s="191" t="s">
        <v>15</v>
      </c>
      <c r="C46" s="191" t="s">
        <v>62</v>
      </c>
    </row>
    <row r="47" spans="1:3" ht="18.75">
      <c r="A47" s="191" t="s">
        <v>14</v>
      </c>
      <c r="B47" s="191" t="s">
        <v>15</v>
      </c>
      <c r="C47" s="191" t="s">
        <v>66</v>
      </c>
    </row>
    <row r="48" spans="1:3" ht="18.75">
      <c r="A48" s="191" t="s">
        <v>14</v>
      </c>
      <c r="B48" s="191" t="s">
        <v>15</v>
      </c>
      <c r="C48" s="191" t="s">
        <v>67</v>
      </c>
    </row>
    <row r="49" spans="1:3" ht="18.75">
      <c r="A49" s="191" t="s">
        <v>14</v>
      </c>
      <c r="B49" s="191" t="s">
        <v>15</v>
      </c>
      <c r="C49" s="191" t="s">
        <v>70</v>
      </c>
    </row>
    <row r="50" spans="1:3" ht="18.75">
      <c r="A50" s="191" t="s">
        <v>14</v>
      </c>
      <c r="B50" s="191" t="s">
        <v>15</v>
      </c>
      <c r="C50" s="191" t="s">
        <v>71</v>
      </c>
    </row>
    <row r="51" spans="1:3" ht="18.75">
      <c r="A51" s="191" t="s">
        <v>14</v>
      </c>
      <c r="B51" s="191" t="s">
        <v>15</v>
      </c>
      <c r="C51" s="191" t="s">
        <v>72</v>
      </c>
    </row>
    <row r="52" spans="1:3" ht="18.75">
      <c r="A52" s="191" t="s">
        <v>14</v>
      </c>
      <c r="B52" s="191" t="s">
        <v>15</v>
      </c>
      <c r="C52" s="191" t="s">
        <v>74</v>
      </c>
    </row>
    <row r="53" spans="1:3" ht="18.75">
      <c r="A53" s="191" t="s">
        <v>14</v>
      </c>
      <c r="B53" s="191" t="s">
        <v>15</v>
      </c>
      <c r="C53" s="191" t="s">
        <v>75</v>
      </c>
    </row>
    <row r="54" spans="1:3" ht="18.75">
      <c r="A54" s="191" t="s">
        <v>14</v>
      </c>
      <c r="B54" s="191" t="s">
        <v>15</v>
      </c>
      <c r="C54" s="191" t="s">
        <v>77</v>
      </c>
    </row>
    <row r="55" spans="1:3" ht="18.75">
      <c r="A55" s="191" t="s">
        <v>14</v>
      </c>
      <c r="B55" s="191" t="s">
        <v>15</v>
      </c>
      <c r="C55" s="191" t="s">
        <v>78</v>
      </c>
    </row>
    <row r="56" spans="1:3" ht="18.75">
      <c r="A56" s="191" t="s">
        <v>14</v>
      </c>
      <c r="B56" s="191" t="s">
        <v>15</v>
      </c>
      <c r="C56" s="191" t="s">
        <v>79</v>
      </c>
    </row>
    <row r="57" spans="1:3" ht="18.75">
      <c r="A57" s="191" t="s">
        <v>14</v>
      </c>
      <c r="B57" s="191" t="s">
        <v>15</v>
      </c>
      <c r="C57" s="191" t="s">
        <v>80</v>
      </c>
    </row>
    <row r="58" spans="1:3" ht="18.75">
      <c r="A58" s="191" t="s">
        <v>14</v>
      </c>
      <c r="B58" s="191" t="s">
        <v>15</v>
      </c>
      <c r="C58" s="191" t="s">
        <v>81</v>
      </c>
    </row>
    <row r="59" spans="1:3" ht="18.75">
      <c r="A59" s="191" t="s">
        <v>14</v>
      </c>
      <c r="B59" s="191" t="s">
        <v>15</v>
      </c>
      <c r="C59" s="191" t="s">
        <v>83</v>
      </c>
    </row>
    <row r="60" spans="1:3" ht="18.75">
      <c r="A60" s="191" t="s">
        <v>14</v>
      </c>
      <c r="B60" s="191" t="s">
        <v>15</v>
      </c>
      <c r="C60" s="191" t="s">
        <v>95</v>
      </c>
    </row>
    <row r="61" spans="1:3" ht="18.75">
      <c r="A61" s="191" t="s">
        <v>14</v>
      </c>
      <c r="B61" s="191" t="s">
        <v>15</v>
      </c>
      <c r="C61" s="191" t="s">
        <v>97</v>
      </c>
    </row>
    <row r="62" spans="1:3" ht="18.75">
      <c r="A62" s="191" t="s">
        <v>14</v>
      </c>
      <c r="B62" s="191" t="s">
        <v>15</v>
      </c>
      <c r="C62" s="191" t="s">
        <v>98</v>
      </c>
    </row>
    <row r="63" spans="1:3" ht="18.75">
      <c r="A63" s="191" t="s">
        <v>14</v>
      </c>
      <c r="B63" s="191" t="s">
        <v>15</v>
      </c>
      <c r="C63" s="191" t="s">
        <v>100</v>
      </c>
    </row>
    <row r="64" spans="1:3" ht="18.75">
      <c r="A64" s="191" t="s">
        <v>14</v>
      </c>
      <c r="B64" s="191" t="s">
        <v>15</v>
      </c>
      <c r="C64" s="191" t="s">
        <v>103</v>
      </c>
    </row>
    <row r="65" spans="1:3" ht="18.75">
      <c r="A65" s="191" t="s">
        <v>14</v>
      </c>
      <c r="B65" s="191" t="s">
        <v>15</v>
      </c>
      <c r="C65" s="191" t="s">
        <v>104</v>
      </c>
    </row>
    <row r="66" spans="1:3" ht="18.75">
      <c r="A66" s="191" t="s">
        <v>14</v>
      </c>
      <c r="B66" s="191" t="s">
        <v>15</v>
      </c>
      <c r="C66" s="191" t="s">
        <v>105</v>
      </c>
    </row>
    <row r="67" spans="1:3" ht="18.75">
      <c r="A67" s="191" t="s">
        <v>14</v>
      </c>
      <c r="B67" s="191" t="s">
        <v>15</v>
      </c>
      <c r="C67" s="191" t="s">
        <v>223</v>
      </c>
    </row>
    <row r="68" spans="1:3" ht="18.75">
      <c r="A68" s="191" t="s">
        <v>14</v>
      </c>
      <c r="B68" s="191" t="s">
        <v>15</v>
      </c>
      <c r="C68" s="191" t="s">
        <v>107</v>
      </c>
    </row>
    <row r="69" spans="1:3" ht="18.75">
      <c r="A69" s="191" t="s">
        <v>14</v>
      </c>
      <c r="B69" s="191" t="s">
        <v>15</v>
      </c>
      <c r="C69" s="191" t="s">
        <v>108</v>
      </c>
    </row>
    <row r="70" spans="1:3" ht="18.75">
      <c r="A70" s="191" t="s">
        <v>14</v>
      </c>
      <c r="B70" s="191" t="s">
        <v>15</v>
      </c>
      <c r="C70" s="191" t="s">
        <v>109</v>
      </c>
    </row>
    <row r="71" spans="1:3" ht="18.75">
      <c r="A71" s="191" t="s">
        <v>14</v>
      </c>
      <c r="B71" s="191" t="s">
        <v>15</v>
      </c>
      <c r="C71" s="191" t="s">
        <v>110</v>
      </c>
    </row>
    <row r="72" spans="1:3" ht="18.75">
      <c r="A72" s="191" t="s">
        <v>14</v>
      </c>
      <c r="B72" s="191" t="s">
        <v>15</v>
      </c>
      <c r="C72" s="191" t="s">
        <v>113</v>
      </c>
    </row>
    <row r="73" spans="1:3" ht="18.75">
      <c r="A73" s="191" t="s">
        <v>14</v>
      </c>
      <c r="B73" s="191" t="s">
        <v>15</v>
      </c>
      <c r="C73" s="191" t="s">
        <v>114</v>
      </c>
    </row>
    <row r="74" spans="1:3" ht="18.75">
      <c r="A74" s="191" t="s">
        <v>14</v>
      </c>
      <c r="B74" s="191" t="s">
        <v>15</v>
      </c>
      <c r="C74" s="191" t="s">
        <v>115</v>
      </c>
    </row>
    <row r="75" spans="1:3" ht="18.75">
      <c r="A75" s="191" t="s">
        <v>14</v>
      </c>
      <c r="B75" s="191" t="s">
        <v>15</v>
      </c>
      <c r="C75" s="191" t="s">
        <v>116</v>
      </c>
    </row>
    <row r="76" spans="1:3" ht="18.75">
      <c r="A76" s="191" t="s">
        <v>14</v>
      </c>
      <c r="B76" s="191" t="s">
        <v>15</v>
      </c>
      <c r="C76" s="191" t="s">
        <v>117</v>
      </c>
    </row>
    <row r="77" spans="1:3" ht="18.75">
      <c r="A77" s="191" t="s">
        <v>14</v>
      </c>
      <c r="B77" s="191" t="s">
        <v>15</v>
      </c>
      <c r="C77" s="191" t="s">
        <v>120</v>
      </c>
    </row>
    <row r="78" spans="1:3" ht="18.75">
      <c r="A78" s="191" t="s">
        <v>14</v>
      </c>
      <c r="B78" s="191" t="s">
        <v>15</v>
      </c>
      <c r="C78" s="191" t="s">
        <v>121</v>
      </c>
    </row>
    <row r="79" spans="1:3" ht="18.75">
      <c r="A79" s="191" t="s">
        <v>14</v>
      </c>
      <c r="B79" s="191" t="s">
        <v>15</v>
      </c>
      <c r="C79" s="191" t="s">
        <v>122</v>
      </c>
    </row>
    <row r="80" spans="1:3" ht="18.75">
      <c r="A80" s="191" t="s">
        <v>14</v>
      </c>
      <c r="B80" s="191" t="s">
        <v>15</v>
      </c>
      <c r="C80" s="191" t="s">
        <v>123</v>
      </c>
    </row>
    <row r="81" spans="1:3" ht="18.75">
      <c r="A81" s="191" t="s">
        <v>14</v>
      </c>
      <c r="B81" s="191" t="s">
        <v>15</v>
      </c>
      <c r="C81" s="191" t="s">
        <v>125</v>
      </c>
    </row>
    <row r="82" spans="1:3" ht="18.75">
      <c r="A82" s="191" t="s">
        <v>14</v>
      </c>
      <c r="B82" s="191" t="s">
        <v>15</v>
      </c>
      <c r="C82" s="191" t="s">
        <v>127</v>
      </c>
    </row>
    <row r="83" spans="1:3" ht="18.75">
      <c r="A83" s="191" t="s">
        <v>14</v>
      </c>
      <c r="B83" s="191" t="s">
        <v>15</v>
      </c>
      <c r="C83" s="191" t="s">
        <v>130</v>
      </c>
    </row>
    <row r="84" spans="1:3" ht="18.75">
      <c r="A84" s="191" t="s">
        <v>14</v>
      </c>
      <c r="B84" s="191" t="s">
        <v>15</v>
      </c>
      <c r="C84" s="191" t="s">
        <v>133</v>
      </c>
    </row>
    <row r="85" spans="1:3" ht="18.75">
      <c r="A85" s="191" t="s">
        <v>14</v>
      </c>
      <c r="B85" s="191" t="s">
        <v>15</v>
      </c>
      <c r="C85" s="191" t="s">
        <v>135</v>
      </c>
    </row>
    <row r="86" spans="1:3" ht="18.75">
      <c r="A86" s="191" t="s">
        <v>14</v>
      </c>
      <c r="B86" s="191" t="s">
        <v>15</v>
      </c>
      <c r="C86" s="191" t="s">
        <v>136</v>
      </c>
    </row>
    <row r="87" spans="1:3" ht="18.75">
      <c r="A87" s="191" t="s">
        <v>14</v>
      </c>
      <c r="B87" s="191" t="s">
        <v>15</v>
      </c>
      <c r="C87" s="191" t="s">
        <v>138</v>
      </c>
    </row>
    <row r="88" spans="1:3" ht="18.75">
      <c r="A88" s="191" t="s">
        <v>14</v>
      </c>
      <c r="B88" s="191" t="s">
        <v>15</v>
      </c>
      <c r="C88" s="191" t="s">
        <v>141</v>
      </c>
    </row>
    <row r="89" spans="1:3" ht="18.75">
      <c r="A89" s="191" t="s">
        <v>14</v>
      </c>
      <c r="B89" s="191" t="s">
        <v>15</v>
      </c>
      <c r="C89" s="191" t="s">
        <v>142</v>
      </c>
    </row>
    <row r="90" spans="1:3" ht="18.75">
      <c r="A90" s="191" t="s">
        <v>14</v>
      </c>
      <c r="B90" s="191" t="s">
        <v>15</v>
      </c>
      <c r="C90" s="191" t="s">
        <v>145</v>
      </c>
    </row>
    <row r="91" spans="1:3" ht="18.75">
      <c r="A91" s="191" t="s">
        <v>14</v>
      </c>
      <c r="B91" s="191" t="s">
        <v>15</v>
      </c>
      <c r="C91" s="191" t="s">
        <v>146</v>
      </c>
    </row>
    <row r="92" spans="1:3" ht="18.75">
      <c r="A92" s="14" t="s">
        <v>38</v>
      </c>
      <c r="B92" s="14" t="s">
        <v>15</v>
      </c>
      <c r="C92" s="14" t="s">
        <v>39</v>
      </c>
    </row>
    <row r="93" spans="1:3" ht="18.75">
      <c r="A93" s="14" t="s">
        <v>38</v>
      </c>
      <c r="B93" s="14" t="s">
        <v>15</v>
      </c>
      <c r="C93" s="14" t="s">
        <v>44</v>
      </c>
    </row>
    <row r="94" spans="1:3" ht="18.75">
      <c r="A94" s="14" t="s">
        <v>38</v>
      </c>
      <c r="B94" s="14" t="s">
        <v>15</v>
      </c>
      <c r="C94" s="14" t="s">
        <v>46</v>
      </c>
    </row>
    <row r="95" spans="1:3" ht="18.75">
      <c r="A95" s="14" t="s">
        <v>38</v>
      </c>
      <c r="B95" s="14" t="s">
        <v>15</v>
      </c>
      <c r="C95" s="14" t="s">
        <v>48</v>
      </c>
    </row>
    <row r="96" spans="1:3" ht="18.75">
      <c r="A96" s="14" t="s">
        <v>38</v>
      </c>
      <c r="B96" s="14" t="s">
        <v>15</v>
      </c>
      <c r="C96" s="14" t="s">
        <v>49</v>
      </c>
    </row>
    <row r="97" spans="1:3" ht="18.75">
      <c r="A97" s="14" t="s">
        <v>38</v>
      </c>
      <c r="B97" s="14" t="s">
        <v>15</v>
      </c>
      <c r="C97" s="14" t="s">
        <v>50</v>
      </c>
    </row>
    <row r="98" spans="1:3" ht="18.75">
      <c r="A98" s="14" t="s">
        <v>38</v>
      </c>
      <c r="B98" s="14" t="s">
        <v>15</v>
      </c>
      <c r="C98" s="14" t="s">
        <v>51</v>
      </c>
    </row>
    <row r="99" spans="1:3" ht="18.75">
      <c r="A99" s="14" t="s">
        <v>38</v>
      </c>
      <c r="B99" s="14" t="s">
        <v>15</v>
      </c>
      <c r="C99" s="14" t="s">
        <v>52</v>
      </c>
    </row>
    <row r="100" spans="1:3" ht="18.75">
      <c r="A100" s="14" t="s">
        <v>38</v>
      </c>
      <c r="B100" s="14" t="s">
        <v>15</v>
      </c>
      <c r="C100" s="14" t="s">
        <v>53</v>
      </c>
    </row>
    <row r="101" spans="1:3" ht="18.75">
      <c r="A101" s="14" t="s">
        <v>38</v>
      </c>
      <c r="B101" s="14" t="s">
        <v>15</v>
      </c>
      <c r="C101" s="14" t="s">
        <v>54</v>
      </c>
    </row>
    <row r="102" spans="1:3" ht="18.75">
      <c r="A102" s="14" t="s">
        <v>38</v>
      </c>
      <c r="B102" s="14" t="s">
        <v>15</v>
      </c>
      <c r="C102" s="14" t="s">
        <v>93</v>
      </c>
    </row>
    <row r="103" spans="1:3" ht="18.75">
      <c r="A103" s="14" t="s">
        <v>38</v>
      </c>
      <c r="B103" s="14" t="s">
        <v>15</v>
      </c>
      <c r="C103" s="14" t="s">
        <v>101</v>
      </c>
    </row>
    <row r="104" spans="1:3" ht="18.75">
      <c r="A104" s="192" t="s">
        <v>24</v>
      </c>
      <c r="B104" s="192" t="s">
        <v>15</v>
      </c>
      <c r="C104" s="192" t="s">
        <v>25</v>
      </c>
    </row>
    <row r="105" spans="1:3" ht="18.75">
      <c r="A105" s="192" t="s">
        <v>24</v>
      </c>
      <c r="B105" s="192" t="s">
        <v>15</v>
      </c>
      <c r="C105" s="192" t="s">
        <v>26</v>
      </c>
    </row>
    <row r="106" spans="1:3" ht="18.75">
      <c r="A106" s="192" t="s">
        <v>24</v>
      </c>
      <c r="B106" s="192" t="s">
        <v>15</v>
      </c>
      <c r="C106" s="192" t="s">
        <v>27</v>
      </c>
    </row>
    <row r="107" spans="1:3" ht="18.75">
      <c r="A107" s="192" t="s">
        <v>24</v>
      </c>
      <c r="B107" s="192" t="s">
        <v>15</v>
      </c>
      <c r="C107" s="192" t="s">
        <v>36</v>
      </c>
    </row>
    <row r="108" spans="1:3" ht="18.75">
      <c r="A108" s="192" t="s">
        <v>24</v>
      </c>
      <c r="B108" s="192" t="s">
        <v>15</v>
      </c>
      <c r="C108" s="192" t="s">
        <v>40</v>
      </c>
    </row>
    <row r="109" spans="1:3" ht="18.75">
      <c r="A109" s="192" t="s">
        <v>24</v>
      </c>
      <c r="B109" s="192" t="s">
        <v>15</v>
      </c>
      <c r="C109" s="192" t="s">
        <v>42</v>
      </c>
    </row>
    <row r="110" spans="1:3" ht="18.75">
      <c r="A110" s="192" t="s">
        <v>24</v>
      </c>
      <c r="B110" s="192" t="s">
        <v>15</v>
      </c>
      <c r="C110" s="192" t="s">
        <v>56</v>
      </c>
    </row>
    <row r="111" spans="1:3" ht="18.75">
      <c r="A111" s="192" t="s">
        <v>24</v>
      </c>
      <c r="B111" s="192" t="s">
        <v>15</v>
      </c>
      <c r="C111" s="192" t="s">
        <v>73</v>
      </c>
    </row>
    <row r="112" spans="1:3" ht="18.75">
      <c r="A112" s="192" t="s">
        <v>24</v>
      </c>
      <c r="B112" s="192" t="s">
        <v>15</v>
      </c>
      <c r="C112" s="192" t="s">
        <v>76</v>
      </c>
    </row>
    <row r="113" spans="1:3" ht="18.75">
      <c r="A113" s="192" t="s">
        <v>24</v>
      </c>
      <c r="B113" s="192" t="s">
        <v>15</v>
      </c>
      <c r="C113" s="192" t="s">
        <v>82</v>
      </c>
    </row>
    <row r="114" spans="1:3" ht="18.75">
      <c r="A114" s="192" t="s">
        <v>24</v>
      </c>
      <c r="B114" s="192" t="s">
        <v>15</v>
      </c>
      <c r="C114" s="192" t="s">
        <v>96</v>
      </c>
    </row>
    <row r="115" spans="1:3" ht="18.75">
      <c r="A115" s="192" t="s">
        <v>24</v>
      </c>
      <c r="B115" s="192" t="s">
        <v>15</v>
      </c>
      <c r="C115" s="192" t="s">
        <v>99</v>
      </c>
    </row>
    <row r="116" spans="1:3" ht="18.75">
      <c r="A116" s="192" t="s">
        <v>24</v>
      </c>
      <c r="B116" s="192" t="s">
        <v>15</v>
      </c>
      <c r="C116" s="192" t="s">
        <v>124</v>
      </c>
    </row>
    <row r="117" spans="1:3" ht="18.75">
      <c r="A117" s="192" t="s">
        <v>24</v>
      </c>
      <c r="B117" s="192" t="s">
        <v>15</v>
      </c>
      <c r="C117" s="192" t="s">
        <v>128</v>
      </c>
    </row>
    <row r="118" spans="1:3" ht="18.75">
      <c r="A118" s="192" t="s">
        <v>24</v>
      </c>
      <c r="B118" s="192" t="s">
        <v>15</v>
      </c>
      <c r="C118" s="192" t="s">
        <v>129</v>
      </c>
    </row>
    <row r="119" spans="1:3" ht="18.75">
      <c r="A119" s="192" t="s">
        <v>24</v>
      </c>
      <c r="B119" s="192" t="s">
        <v>15</v>
      </c>
      <c r="C119" s="192" t="s">
        <v>132</v>
      </c>
    </row>
    <row r="120" spans="1:3" ht="18.75">
      <c r="A120" s="192" t="s">
        <v>24</v>
      </c>
      <c r="B120" s="192" t="s">
        <v>15</v>
      </c>
      <c r="C120" s="192" t="s">
        <v>134</v>
      </c>
    </row>
    <row r="121" spans="1:3" ht="18.75">
      <c r="A121" s="192" t="s">
        <v>24</v>
      </c>
      <c r="B121" s="192" t="s">
        <v>15</v>
      </c>
      <c r="C121" s="192" t="s">
        <v>137</v>
      </c>
    </row>
    <row r="122" spans="1:3" ht="18.75">
      <c r="A122" s="192" t="s">
        <v>18</v>
      </c>
      <c r="B122" s="192" t="s">
        <v>15</v>
      </c>
      <c r="C122" s="192" t="s">
        <v>143</v>
      </c>
    </row>
    <row r="123" spans="1:3" ht="18.75">
      <c r="A123" s="192" t="s">
        <v>18</v>
      </c>
      <c r="B123" s="192" t="s">
        <v>15</v>
      </c>
      <c r="C123" s="192" t="s">
        <v>19</v>
      </c>
    </row>
    <row r="124" spans="1:3" ht="18.75">
      <c r="A124" s="192" t="s">
        <v>18</v>
      </c>
      <c r="B124" s="192" t="s">
        <v>15</v>
      </c>
      <c r="C124" s="192" t="s">
        <v>20</v>
      </c>
    </row>
    <row r="125" spans="1:3" ht="18.75">
      <c r="A125" s="192" t="s">
        <v>18</v>
      </c>
      <c r="B125" s="192" t="s">
        <v>15</v>
      </c>
      <c r="C125" s="192" t="s">
        <v>144</v>
      </c>
    </row>
    <row r="126" spans="1:3" ht="18.75">
      <c r="A126" s="192" t="s">
        <v>18</v>
      </c>
      <c r="B126" s="192" t="s">
        <v>15</v>
      </c>
      <c r="C126" s="83" t="s">
        <v>222</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L10"/>
  <sheetViews>
    <sheetView zoomScale="119" zoomScaleNormal="119" workbookViewId="0" topLeftCell="A3">
      <selection activeCell="C12" sqref="C12"/>
    </sheetView>
  </sheetViews>
  <sheetFormatPr defaultColWidth="8.796875" defaultRowHeight="18.75"/>
  <cols>
    <col min="2" max="2" width="13.3984375" style="0" bestFit="1" customWidth="1"/>
  </cols>
  <sheetData>
    <row r="3" spans="2:5" ht="18.75">
      <c r="B3" s="5"/>
      <c r="C3" s="5"/>
      <c r="D3" s="6" t="s">
        <v>155</v>
      </c>
      <c r="E3" s="8" t="s">
        <v>155</v>
      </c>
    </row>
    <row r="4" spans="2:5" ht="18.75">
      <c r="B4" s="5"/>
      <c r="C4" s="7" t="s">
        <v>156</v>
      </c>
      <c r="D4" s="6" t="s">
        <v>157</v>
      </c>
      <c r="E4" s="8" t="s">
        <v>157</v>
      </c>
    </row>
    <row r="5" spans="2:12" ht="18.9" thickBot="1">
      <c r="B5" s="9"/>
      <c r="C5" s="7" t="s">
        <v>158</v>
      </c>
      <c r="D5" s="6" t="s">
        <v>159</v>
      </c>
      <c r="E5" s="8" t="s">
        <v>9</v>
      </c>
      <c r="H5" t="s">
        <v>180</v>
      </c>
      <c r="I5" t="s">
        <v>177</v>
      </c>
      <c r="J5" t="s">
        <v>178</v>
      </c>
      <c r="K5" t="s">
        <v>179</v>
      </c>
      <c r="L5" t="s">
        <v>185</v>
      </c>
    </row>
    <row r="6" spans="2:12" ht="25.3">
      <c r="B6" s="10" t="s">
        <v>38</v>
      </c>
      <c r="C6" s="101">
        <f>INDEX('Avg. Costs'!$F$4:$F$8,MATCH('Gas Matt'!B6,'Avg. Costs'!$E$4:$E$8,0))</f>
        <v>531924.6666666666</v>
      </c>
      <c r="D6" s="102">
        <f>E6/C6</f>
        <v>0.03497862792600958</v>
      </c>
      <c r="E6" s="103">
        <f>I6/G6</f>
        <v>18605.995000000003</v>
      </c>
      <c r="G6">
        <v>12</v>
      </c>
      <c r="H6" s="71" t="s">
        <v>38</v>
      </c>
      <c r="I6" s="37">
        <v>223271.94000000003</v>
      </c>
      <c r="J6" s="67">
        <v>0.3035297620261425</v>
      </c>
      <c r="K6" s="70">
        <v>6383096</v>
      </c>
      <c r="L6" s="76">
        <v>0.03497862792600958</v>
      </c>
    </row>
    <row r="7" spans="2:12" ht="25.3">
      <c r="B7" s="10" t="s">
        <v>24</v>
      </c>
      <c r="C7" s="105">
        <f>INDEX('Avg. Costs'!$F$4:$F$8,MATCH('Gas Matt'!B7,'Avg. Costs'!$E$4:$E$8,0))</f>
        <v>218242.38888888888</v>
      </c>
      <c r="D7" s="104">
        <f aca="true" t="shared" si="0" ref="D7:D9">E7/C7</f>
        <v>0.04265460447519743</v>
      </c>
      <c r="E7" s="106">
        <f aca="true" t="shared" si="1" ref="E7:E8">I7/G7</f>
        <v>9309.042777777777</v>
      </c>
      <c r="G7">
        <v>18</v>
      </c>
      <c r="H7" s="71" t="s">
        <v>24</v>
      </c>
      <c r="I7" s="37">
        <v>167562.77</v>
      </c>
      <c r="J7" s="67">
        <v>0.22779525139854673</v>
      </c>
      <c r="K7" s="70">
        <v>3928363</v>
      </c>
      <c r="L7" s="76">
        <v>0.04265460447519743</v>
      </c>
    </row>
    <row r="8" spans="2:12" ht="25.3">
      <c r="B8" s="10" t="s">
        <v>14</v>
      </c>
      <c r="C8" s="105">
        <f>INDEX('Avg. Costs'!$F$4:$F$8,MATCH('Gas Matt'!B8,'Avg. Costs'!$E$4:$E$8,0))</f>
        <v>95557.5</v>
      </c>
      <c r="D8" s="104">
        <f t="shared" si="0"/>
        <v>0.028670970358161317</v>
      </c>
      <c r="E8" s="106">
        <f t="shared" si="1"/>
        <v>2739.72625</v>
      </c>
      <c r="G8">
        <v>56</v>
      </c>
      <c r="H8" s="71" t="s">
        <v>14</v>
      </c>
      <c r="I8" s="37">
        <v>153424.67</v>
      </c>
      <c r="J8" s="67">
        <v>0.2085750389146054</v>
      </c>
      <c r="K8" s="70">
        <v>5351220</v>
      </c>
      <c r="L8" s="76">
        <v>0.02867097035816132</v>
      </c>
    </row>
    <row r="9" spans="2:12" ht="25.75" thickBot="1">
      <c r="B9" s="10" t="s">
        <v>18</v>
      </c>
      <c r="C9" s="107">
        <f>INDEX('Avg. Costs'!$F$4:$F$8,MATCH('Gas Matt'!B9,'Avg. Costs'!$E$4:$E$8,0))</f>
        <v>56978.4</v>
      </c>
      <c r="D9" s="108">
        <f t="shared" si="0"/>
        <v>0.14640050732675308</v>
      </c>
      <c r="E9" s="109">
        <f>I9/G9</f>
        <v>8341.666666666668</v>
      </c>
      <c r="G9">
        <v>3</v>
      </c>
      <c r="H9" s="153" t="s">
        <v>18</v>
      </c>
      <c r="I9" s="154">
        <v>25025.000000000004</v>
      </c>
      <c r="J9" s="155">
        <v>0.03402054147379297</v>
      </c>
      <c r="K9" s="156">
        <v>284892</v>
      </c>
      <c r="L9" s="157">
        <v>0.08784030439605185</v>
      </c>
    </row>
    <row r="10" spans="3:4" ht="18.75">
      <c r="C10" s="21" t="s">
        <v>163</v>
      </c>
      <c r="D10" s="22">
        <f>SUMPRODUCT(C6:C9,D6:D9)/SUM(C6:C9)</f>
        <v>0.04319962669275261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L10"/>
  <sheetViews>
    <sheetView workbookViewId="0" topLeftCell="A1">
      <selection activeCell="E11" sqref="E11"/>
    </sheetView>
  </sheetViews>
  <sheetFormatPr defaultColWidth="8.796875" defaultRowHeight="18.75"/>
  <cols>
    <col min="2" max="2" width="13.3984375" style="0" bestFit="1" customWidth="1"/>
    <col min="5" max="5" width="12.69921875" style="0" bestFit="1" customWidth="1"/>
    <col min="9" max="9" width="10.5" style="0" customWidth="1"/>
  </cols>
  <sheetData>
    <row r="3" spans="2:5" ht="18.75">
      <c r="B3" s="5"/>
      <c r="C3" s="5"/>
      <c r="D3" s="6" t="s">
        <v>155</v>
      </c>
      <c r="E3" s="8" t="s">
        <v>155</v>
      </c>
    </row>
    <row r="4" spans="2:5" ht="18.75">
      <c r="B4" s="5"/>
      <c r="C4" s="7" t="s">
        <v>156</v>
      </c>
      <c r="D4" s="6" t="s">
        <v>157</v>
      </c>
      <c r="E4" s="8" t="s">
        <v>157</v>
      </c>
    </row>
    <row r="5" spans="2:12" ht="18.9" thickBot="1">
      <c r="B5" s="9"/>
      <c r="C5" s="7" t="s">
        <v>158</v>
      </c>
      <c r="D5" s="6" t="s">
        <v>159</v>
      </c>
      <c r="E5" s="8" t="s">
        <v>9</v>
      </c>
      <c r="H5" s="68" t="s">
        <v>180</v>
      </c>
      <c r="I5" s="69" t="s">
        <v>177</v>
      </c>
      <c r="J5" s="68" t="s">
        <v>178</v>
      </c>
      <c r="K5" s="69" t="s">
        <v>179</v>
      </c>
      <c r="L5" s="69" t="s">
        <v>185</v>
      </c>
    </row>
    <row r="6" spans="2:12" ht="25.3">
      <c r="B6" s="10" t="s">
        <v>38</v>
      </c>
      <c r="C6" s="92">
        <f>INDEX('Avg. Costs'!$F$4:$F$8,MATCH('Water Matt'!B6,'Avg. Costs'!$E$4:$E$8,0))</f>
        <v>531924.6666666666</v>
      </c>
      <c r="D6" s="93">
        <f>E6/C6</f>
        <v>0.2237875617098662</v>
      </c>
      <c r="E6" s="94">
        <f>I6/G6</f>
        <v>119038.12416666666</v>
      </c>
      <c r="G6">
        <v>12</v>
      </c>
      <c r="H6" s="71" t="s">
        <v>38</v>
      </c>
      <c r="I6" s="37">
        <v>1428457.49</v>
      </c>
      <c r="J6" s="67">
        <v>0.3559952125505442</v>
      </c>
      <c r="K6" s="70">
        <v>6383096</v>
      </c>
      <c r="L6" s="76">
        <v>0.2237875617098662</v>
      </c>
    </row>
    <row r="7" spans="2:12" ht="25.3">
      <c r="B7" s="10" t="s">
        <v>24</v>
      </c>
      <c r="C7" s="96">
        <f>INDEX('Avg. Costs'!$F$4:$F$8,MATCH('Water Matt'!B7,'Avg. Costs'!$E$4:$E$8,0))</f>
        <v>218242.38888888888</v>
      </c>
      <c r="D7" s="95">
        <f aca="true" t="shared" si="0" ref="D7:D9">E7/C7</f>
        <v>0.20174355323069684</v>
      </c>
      <c r="E7" s="97">
        <f aca="true" t="shared" si="1" ref="E7:E9">I7/G7</f>
        <v>44028.994999999995</v>
      </c>
      <c r="G7">
        <v>18</v>
      </c>
      <c r="H7" s="71" t="s">
        <v>24</v>
      </c>
      <c r="I7" s="37">
        <v>792521.9099999999</v>
      </c>
      <c r="J7" s="67">
        <v>0.19750955683071342</v>
      </c>
      <c r="K7" s="70">
        <v>3928363</v>
      </c>
      <c r="L7" s="76">
        <v>0.20174355323069684</v>
      </c>
    </row>
    <row r="8" spans="2:12" ht="25.3">
      <c r="B8" s="10" t="s">
        <v>14</v>
      </c>
      <c r="C8" s="96">
        <f>INDEX('Avg. Costs'!$F$4:$F$8,MATCH('Water Matt'!B8,'Avg. Costs'!$E$4:$E$8,0))</f>
        <v>95557.5</v>
      </c>
      <c r="D8" s="95">
        <f t="shared" si="0"/>
        <v>0.2019847268473358</v>
      </c>
      <c r="E8" s="97">
        <f t="shared" si="1"/>
        <v>19301.15553571429</v>
      </c>
      <c r="G8">
        <v>56</v>
      </c>
      <c r="H8" s="71" t="s">
        <v>14</v>
      </c>
      <c r="I8" s="37">
        <v>1080864.7100000002</v>
      </c>
      <c r="J8" s="67">
        <v>0.2693693476134403</v>
      </c>
      <c r="K8" s="70">
        <v>5351220</v>
      </c>
      <c r="L8" s="76">
        <v>0.2019847268473358</v>
      </c>
    </row>
    <row r="9" spans="2:12" ht="25.75" thickBot="1">
      <c r="B9" s="10" t="s">
        <v>18</v>
      </c>
      <c r="C9" s="98">
        <f>INDEX('Avg. Costs'!$F$4:$F$8,MATCH('Water Matt'!B9,'Avg. Costs'!$E$4:$E$8,0))</f>
        <v>56978.4</v>
      </c>
      <c r="D9" s="99">
        <f t="shared" si="0"/>
        <v>0.1756983348075762</v>
      </c>
      <c r="E9" s="100">
        <f t="shared" si="1"/>
        <v>10011.01</v>
      </c>
      <c r="G9">
        <v>3</v>
      </c>
      <c r="H9" s="71" t="s">
        <v>18</v>
      </c>
      <c r="I9" s="37">
        <v>30033.030000000002</v>
      </c>
      <c r="J9" s="67">
        <v>0.007484727388273117</v>
      </c>
      <c r="K9" s="70">
        <v>284892</v>
      </c>
      <c r="L9" s="76">
        <v>0.10541900088454573</v>
      </c>
    </row>
    <row r="10" spans="3:4" ht="18.75">
      <c r="C10" s="21" t="s">
        <v>163</v>
      </c>
      <c r="D10" s="22">
        <f>SUMPRODUCT(C6:C9,D6:D9)/SUM(C6:C9)</f>
        <v>0.21311471677190189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3:L16"/>
  <sheetViews>
    <sheetView zoomScale="143" zoomScaleNormal="143" workbookViewId="0" topLeftCell="A4">
      <selection activeCell="F10" sqref="F10"/>
    </sheetView>
  </sheetViews>
  <sheetFormatPr defaultColWidth="8.796875" defaultRowHeight="18.75"/>
  <cols>
    <col min="2" max="2" width="13.3984375" style="0" bestFit="1" customWidth="1"/>
    <col min="4" max="5" width="10.796875" style="0" bestFit="1" customWidth="1"/>
    <col min="8" max="8" width="11" style="42" customWidth="1"/>
    <col min="9" max="9" width="9.796875" style="42" bestFit="1" customWidth="1"/>
    <col min="10" max="12" width="8.8984375" style="42" customWidth="1"/>
  </cols>
  <sheetData>
    <row r="3" spans="2:5" ht="18.75">
      <c r="B3" s="5"/>
      <c r="C3" s="5"/>
      <c r="D3" s="6" t="s">
        <v>155</v>
      </c>
      <c r="E3" s="8" t="s">
        <v>155</v>
      </c>
    </row>
    <row r="4" spans="2:5" ht="18.75">
      <c r="B4" s="5"/>
      <c r="C4" s="7" t="s">
        <v>156</v>
      </c>
      <c r="D4" s="6" t="s">
        <v>157</v>
      </c>
      <c r="E4" s="8" t="s">
        <v>157</v>
      </c>
    </row>
    <row r="5" spans="2:12" ht="18.9" thickBot="1">
      <c r="B5" s="9"/>
      <c r="C5" s="7" t="s">
        <v>158</v>
      </c>
      <c r="D5" s="6" t="s">
        <v>159</v>
      </c>
      <c r="E5" s="8" t="s">
        <v>9</v>
      </c>
      <c r="H5" s="85" t="s">
        <v>180</v>
      </c>
      <c r="I5" s="86" t="s">
        <v>177</v>
      </c>
      <c r="J5" s="85" t="s">
        <v>178</v>
      </c>
      <c r="K5" s="86" t="s">
        <v>179</v>
      </c>
      <c r="L5" s="86" t="s">
        <v>185</v>
      </c>
    </row>
    <row r="6" spans="2:12" ht="25.3">
      <c r="B6" s="10" t="s">
        <v>38</v>
      </c>
      <c r="C6" s="119">
        <f>INDEX('Avg. Costs'!$F$4:$F$8,MATCH(B6,'Avg. Costs'!$E$4:$E$8,0))</f>
        <v>531924.6666666666</v>
      </c>
      <c r="D6" s="120">
        <f>E6/C6</f>
        <v>0.9489602146043239</v>
      </c>
      <c r="E6" s="121">
        <f>I6/G6</f>
        <v>504775.34583333344</v>
      </c>
      <c r="G6">
        <v>12</v>
      </c>
      <c r="H6" s="87" t="s">
        <v>38</v>
      </c>
      <c r="I6" s="88">
        <v>6057304.150000001</v>
      </c>
      <c r="J6" s="89">
        <v>0.3392194966430325</v>
      </c>
      <c r="K6" s="90">
        <v>6383096</v>
      </c>
      <c r="L6" s="91">
        <v>0.9489602146043239</v>
      </c>
    </row>
    <row r="7" spans="2:12" ht="25.3">
      <c r="B7" s="10" t="s">
        <v>24</v>
      </c>
      <c r="C7" s="122">
        <f>INDEX('Avg. Costs'!$F$4:$F$8,MATCH(B7,'Avg. Costs'!$E$4:$E$8,0))</f>
        <v>218242.38888888888</v>
      </c>
      <c r="D7" s="118">
        <f aca="true" t="shared" si="0" ref="D7:D8">E7/C7</f>
        <v>0.915586108004785</v>
      </c>
      <c r="E7" s="123">
        <f aca="true" t="shared" si="1" ref="E7:E8">I7/G7</f>
        <v>199819.6994444445</v>
      </c>
      <c r="G7">
        <v>18</v>
      </c>
      <c r="H7" s="87" t="s">
        <v>24</v>
      </c>
      <c r="I7" s="88">
        <v>3596754.590000001</v>
      </c>
      <c r="J7" s="89">
        <v>0.20142447058206855</v>
      </c>
      <c r="K7" s="90">
        <v>3928363</v>
      </c>
      <c r="L7" s="91">
        <v>0.9155861080047849</v>
      </c>
    </row>
    <row r="8" spans="2:12" ht="25.3">
      <c r="B8" s="10" t="s">
        <v>14</v>
      </c>
      <c r="C8" s="122">
        <f>INDEX('Avg. Costs'!$F$4:$F$8,MATCH(B8,'Avg. Costs'!$E$4:$E$8,0))</f>
        <v>95557.5</v>
      </c>
      <c r="D8" s="118">
        <f t="shared" si="0"/>
        <v>0.9660318450745796</v>
      </c>
      <c r="E8" s="123">
        <f t="shared" si="1"/>
        <v>92311.58803571414</v>
      </c>
      <c r="G8">
        <v>56</v>
      </c>
      <c r="H8" s="87" t="s">
        <v>14</v>
      </c>
      <c r="I8" s="88">
        <v>5169448.929999992</v>
      </c>
      <c r="J8" s="89">
        <v>0.28949807051647886</v>
      </c>
      <c r="K8" s="90">
        <v>5351220</v>
      </c>
      <c r="L8" s="91">
        <v>0.9660318450745796</v>
      </c>
    </row>
    <row r="9" spans="2:12" ht="25.75" thickBot="1">
      <c r="B9" s="10" t="s">
        <v>18</v>
      </c>
      <c r="C9" s="124">
        <f>INDEX('Avg. Costs'!$F$4:$F$8,MATCH(B9,'Avg. Costs'!$E$4:$E$8,0))</f>
        <v>56978.4</v>
      </c>
      <c r="D9" s="125">
        <f>E9/C9</f>
        <v>1.8060405931604482</v>
      </c>
      <c r="E9" s="126">
        <f>I9/G9</f>
        <v>102905.30333333329</v>
      </c>
      <c r="G9">
        <v>3</v>
      </c>
      <c r="H9" s="87" t="s">
        <v>18</v>
      </c>
      <c r="I9" s="88">
        <v>308715.90999999986</v>
      </c>
      <c r="J9" s="89">
        <v>0.017288624279481767</v>
      </c>
      <c r="K9" s="90">
        <v>284892</v>
      </c>
      <c r="L9" s="91">
        <v>1.083624355896269</v>
      </c>
    </row>
    <row r="10" spans="3:12" ht="18.75">
      <c r="C10" s="21" t="s">
        <v>163</v>
      </c>
      <c r="D10" s="22">
        <f>SUMPRODUCT(C6:C9,D6:D9)/SUM(C6:C9)</f>
        <v>0.9967973751598599</v>
      </c>
      <c r="H10"/>
      <c r="I10"/>
      <c r="J10"/>
      <c r="K10"/>
      <c r="L10"/>
    </row>
    <row r="11" spans="8:12" ht="18.75">
      <c r="H11"/>
      <c r="I11"/>
      <c r="J11"/>
      <c r="K11"/>
      <c r="L11"/>
    </row>
    <row r="12" spans="8:11" ht="18.75">
      <c r="H12"/>
      <c r="I12"/>
      <c r="J12"/>
      <c r="K12"/>
    </row>
    <row r="13" spans="8:11" ht="18.75">
      <c r="H13"/>
      <c r="I13"/>
      <c r="J13"/>
      <c r="K13"/>
    </row>
    <row r="14" spans="8:11" ht="18.75">
      <c r="H14"/>
      <c r="I14"/>
      <c r="J14"/>
      <c r="K14"/>
    </row>
    <row r="15" spans="8:11" ht="18.75">
      <c r="H15"/>
      <c r="I15"/>
      <c r="J15"/>
      <c r="K15"/>
    </row>
    <row r="16" spans="8:11" ht="18.75">
      <c r="H16"/>
      <c r="I16"/>
      <c r="J16"/>
      <c r="K16"/>
    </row>
  </sheetData>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D2:J42"/>
  <sheetViews>
    <sheetView zoomScale="90" zoomScaleNormal="90" workbookViewId="0" topLeftCell="A24">
      <selection activeCell="C41" sqref="C41"/>
    </sheetView>
  </sheetViews>
  <sheetFormatPr defaultColWidth="8.796875" defaultRowHeight="18.75"/>
  <cols>
    <col min="3" max="3" width="12.09765625" style="0" bestFit="1" customWidth="1"/>
    <col min="4" max="4" width="15.8984375" style="0" customWidth="1"/>
    <col min="5" max="5" width="11" style="0" customWidth="1"/>
    <col min="6" max="6" width="13.69921875" style="0" customWidth="1"/>
  </cols>
  <sheetData>
    <row r="2" spans="4:6" ht="18.75">
      <c r="D2" s="23"/>
      <c r="E2" s="35"/>
      <c r="F2" s="36"/>
    </row>
    <row r="3" spans="4:7" ht="18.9" thickBot="1">
      <c r="D3" s="39"/>
      <c r="E3" s="40"/>
      <c r="F3" s="41"/>
      <c r="G3" s="42"/>
    </row>
    <row r="4" spans="4:7" ht="18.9" thickBot="1">
      <c r="D4" s="51" t="s">
        <v>1</v>
      </c>
      <c r="E4" s="52" t="s">
        <v>15</v>
      </c>
      <c r="F4" s="48"/>
      <c r="G4" s="49"/>
    </row>
    <row r="5" spans="4:7" ht="18.9" thickBot="1">
      <c r="D5" s="46"/>
      <c r="E5" s="47"/>
      <c r="F5" s="48"/>
      <c r="G5" s="49"/>
    </row>
    <row r="6" spans="4:7" ht="18.9" thickBot="1">
      <c r="D6" s="53" t="s">
        <v>151</v>
      </c>
      <c r="E6" s="54" t="s">
        <v>162</v>
      </c>
      <c r="F6" s="55" t="s">
        <v>169</v>
      </c>
      <c r="G6" s="130" t="s">
        <v>186</v>
      </c>
    </row>
    <row r="7" spans="4:7" ht="18.75">
      <c r="D7" s="56" t="s">
        <v>31</v>
      </c>
      <c r="E7" s="57">
        <v>1252106</v>
      </c>
      <c r="F7" s="58">
        <v>94970.97962399999</v>
      </c>
      <c r="G7" s="127">
        <f>ROUND((F7/E7*1000000)/3412,1)*2</f>
        <v>44.4</v>
      </c>
    </row>
    <row r="8" spans="4:7" ht="18.75">
      <c r="D8" s="46" t="s">
        <v>14</v>
      </c>
      <c r="E8" s="47">
        <v>5351220</v>
      </c>
      <c r="F8" s="48">
        <v>172333.71908800004</v>
      </c>
      <c r="G8" s="127">
        <f>ROUND((F8/E8*1000000)/3412,1)*2</f>
        <v>18.8</v>
      </c>
    </row>
    <row r="9" spans="4:7" ht="18.75">
      <c r="D9" s="46" t="s">
        <v>38</v>
      </c>
      <c r="E9" s="47">
        <v>6383096</v>
      </c>
      <c r="F9" s="48">
        <v>218465.57296400002</v>
      </c>
      <c r="G9" s="127">
        <f>ROUND((F9/E9*1000000)/3412,1)*2</f>
        <v>20</v>
      </c>
    </row>
    <row r="10" spans="4:7" ht="18.75">
      <c r="D10" s="46" t="s">
        <v>24</v>
      </c>
      <c r="E10" s="47">
        <v>3928363</v>
      </c>
      <c r="F10" s="48">
        <v>127981.18909200002</v>
      </c>
      <c r="G10" s="127">
        <f>ROUND((F10/E10*1000000)/3412,1)*2</f>
        <v>19</v>
      </c>
    </row>
    <row r="11" spans="4:7" ht="18.9" thickBot="1">
      <c r="D11" s="50" t="s">
        <v>18</v>
      </c>
      <c r="E11" s="47">
        <v>284892</v>
      </c>
      <c r="F11" s="48">
        <v>11411.468119999998</v>
      </c>
      <c r="G11" s="127">
        <f>ROUND((F11/E11*1000000)/3412,1)*2</f>
        <v>23.4</v>
      </c>
    </row>
    <row r="12" spans="4:8" ht="18.9" thickBot="1">
      <c r="D12" s="43" t="s">
        <v>152</v>
      </c>
      <c r="E12" s="44">
        <v>17199677</v>
      </c>
      <c r="F12" s="45">
        <v>625162.9288880001</v>
      </c>
      <c r="G12" s="128">
        <f>SUMPRODUCT(G7:G11,E7:E11)/SUM(E7:E11)</f>
        <v>21.230848242091987</v>
      </c>
      <c r="H12" t="s">
        <v>184</v>
      </c>
    </row>
    <row r="13" spans="7:8" ht="18.75">
      <c r="G13" s="129">
        <f>SUMPRODUCT(F8:F10,G8:G10)/SUM(F8:F10)</f>
        <v>19.35467569778387</v>
      </c>
      <c r="H13" s="21" t="s">
        <v>167</v>
      </c>
    </row>
    <row r="15" ht="19.5" thickBot="1"/>
    <row r="16" spans="4:7" ht="19.5" thickBot="1">
      <c r="D16" s="51" t="s">
        <v>1</v>
      </c>
      <c r="E16" s="52" t="s">
        <v>183</v>
      </c>
      <c r="F16" s="48"/>
      <c r="G16" s="49"/>
    </row>
    <row r="17" spans="4:7" ht="19.5" thickBot="1">
      <c r="D17" s="46"/>
      <c r="E17" s="47"/>
      <c r="F17" s="48"/>
      <c r="G17" s="49"/>
    </row>
    <row r="18" spans="4:7" ht="19.5" thickBot="1">
      <c r="D18" s="53" t="s">
        <v>151</v>
      </c>
      <c r="E18" s="54" t="s">
        <v>162</v>
      </c>
      <c r="F18" s="55" t="s">
        <v>169</v>
      </c>
      <c r="G18" s="49"/>
    </row>
    <row r="19" spans="4:6" ht="18.75">
      <c r="D19" s="56" t="s">
        <v>31</v>
      </c>
      <c r="E19" s="57">
        <v>2425975</v>
      </c>
      <c r="F19" s="58">
        <v>138536.88962399997</v>
      </c>
    </row>
    <row r="20" spans="4:6" ht="18.75">
      <c r="D20" s="46" t="s">
        <v>14</v>
      </c>
      <c r="E20" s="47">
        <v>10616315</v>
      </c>
      <c r="F20" s="48">
        <v>208334.27908799992</v>
      </c>
    </row>
    <row r="21" spans="4:6" ht="18.75">
      <c r="D21" s="46" t="s">
        <v>38</v>
      </c>
      <c r="E21" s="47">
        <v>12210350</v>
      </c>
      <c r="F21" s="48">
        <v>275828.332964</v>
      </c>
    </row>
    <row r="22" spans="4:6" ht="18.75">
      <c r="D22" s="46" t="s">
        <v>24</v>
      </c>
      <c r="E22" s="47">
        <v>7874474</v>
      </c>
      <c r="F22" s="48">
        <v>169152.34909200002</v>
      </c>
    </row>
    <row r="23" spans="4:6" ht="19.5" thickBot="1">
      <c r="D23" s="50" t="s">
        <v>18</v>
      </c>
      <c r="E23" s="47">
        <v>607661</v>
      </c>
      <c r="F23" s="48">
        <v>17035.268119999997</v>
      </c>
    </row>
    <row r="24" spans="4:9" ht="19.5" thickBot="1">
      <c r="D24" s="43" t="s">
        <v>152</v>
      </c>
      <c r="E24" s="44">
        <v>33734775</v>
      </c>
      <c r="F24" s="45">
        <v>808887.118888</v>
      </c>
      <c r="I24" t="s">
        <v>192</v>
      </c>
    </row>
    <row r="25" spans="8:9" ht="18.75">
      <c r="H25" t="s">
        <v>184</v>
      </c>
      <c r="I25">
        <v>41.24</v>
      </c>
    </row>
    <row r="26" spans="6:10" ht="18.75">
      <c r="F26" s="82">
        <f>(F22*1000)/((SUM(E8:E10)/2))</f>
        <v>21.59941464573206</v>
      </c>
      <c r="H26" t="s">
        <v>15</v>
      </c>
      <c r="I26">
        <v>33.03</v>
      </c>
      <c r="J26" s="142">
        <f>I26/I25</f>
        <v>0.800921435499515</v>
      </c>
    </row>
    <row r="27" spans="8:10" ht="18.75">
      <c r="H27" t="s">
        <v>191</v>
      </c>
      <c r="I27">
        <f>I25-I26</f>
        <v>8.21</v>
      </c>
      <c r="J27" s="142">
        <f>I27/I25</f>
        <v>0.19907856450048497</v>
      </c>
    </row>
    <row r="28" ht="18.75">
      <c r="F28" s="80"/>
    </row>
    <row r="29" ht="18.9" thickBot="1"/>
    <row r="30" spans="4:6" ht="18.9" thickBot="1">
      <c r="D30" s="51" t="s">
        <v>1</v>
      </c>
      <c r="E30" s="52" t="s">
        <v>183</v>
      </c>
      <c r="F30" s="48"/>
    </row>
    <row r="31" spans="4:6" ht="18.9" thickBot="1">
      <c r="D31" s="46"/>
      <c r="E31" s="47"/>
      <c r="F31" s="48"/>
    </row>
    <row r="32" spans="4:6" ht="18.9" thickBot="1">
      <c r="D32" s="53" t="s">
        <v>151</v>
      </c>
      <c r="E32" s="54" t="s">
        <v>162</v>
      </c>
      <c r="F32" s="55" t="s">
        <v>169</v>
      </c>
    </row>
    <row r="33" spans="4:6" ht="18.75">
      <c r="D33" s="56" t="s">
        <v>31</v>
      </c>
      <c r="E33" s="57">
        <v>2425975</v>
      </c>
      <c r="F33" s="58">
        <v>138536.88962399997</v>
      </c>
    </row>
    <row r="34" spans="4:6" ht="18.75">
      <c r="D34" s="46" t="s">
        <v>14</v>
      </c>
      <c r="E34" s="47">
        <v>10616315</v>
      </c>
      <c r="F34" s="48">
        <v>208334.27908799992</v>
      </c>
    </row>
    <row r="35" spans="4:6" ht="18.75">
      <c r="D35" s="46" t="s">
        <v>38</v>
      </c>
      <c r="E35" s="47">
        <v>12210350</v>
      </c>
      <c r="F35" s="48">
        <v>275828.332964</v>
      </c>
    </row>
    <row r="36" spans="4:6" ht="18.75">
      <c r="D36" s="46" t="s">
        <v>24</v>
      </c>
      <c r="E36" s="47">
        <v>7874474</v>
      </c>
      <c r="F36" s="48">
        <v>169152.34909200002</v>
      </c>
    </row>
    <row r="37" spans="4:6" ht="18.9" thickBot="1">
      <c r="D37" s="50" t="s">
        <v>18</v>
      </c>
      <c r="E37" s="47">
        <v>607661</v>
      </c>
      <c r="F37" s="48">
        <v>17035.268119999997</v>
      </c>
    </row>
    <row r="38" spans="4:6" ht="18.9" thickBot="1">
      <c r="D38" s="43" t="s">
        <v>152</v>
      </c>
      <c r="E38" s="44">
        <v>33734775</v>
      </c>
      <c r="F38" s="45">
        <v>808887.118888</v>
      </c>
    </row>
    <row r="40" ht="18.75">
      <c r="F40" s="15" t="s">
        <v>187</v>
      </c>
    </row>
    <row r="41" ht="18.75">
      <c r="F41" s="15" t="s">
        <v>184</v>
      </c>
    </row>
    <row r="42" ht="18.75">
      <c r="F42" s="82">
        <f>F38*1000/(E12/2)</f>
        <v>94.05840806056997</v>
      </c>
    </row>
  </sheetData>
  <printOptions/>
  <pageMargins left="0.7" right="0.7" top="0.75" bottom="0.75" header="0.3" footer="0.3"/>
  <pageSetup fitToHeight="0" fitToWidth="1" horizontalDpi="600" verticalDpi="600" orientation="landscape" scale="52" r:id="rId2"/>
  <headerFooter>
    <oddFooter>&amp;CPrepared by JAY BONHAM &amp;D</oddFooter>
  </headerFooter>
  <drawing r:id="rId1"/>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
  <sheetViews>
    <sheetView workbookViewId="0" topLeftCell="A1">
      <selection activeCell="D3" sqref="D3"/>
    </sheetView>
  </sheetViews>
  <sheetFormatPr defaultColWidth="8.796875" defaultRowHeight="18.75"/>
  <cols>
    <col min="1" max="1" width="17.69921875" style="0" customWidth="1"/>
    <col min="2" max="2" width="16.69921875" style="0" customWidth="1"/>
    <col min="3" max="3" width="8.796875" style="0" bestFit="1" customWidth="1"/>
    <col min="4" max="4" width="15.3984375" style="0" bestFit="1" customWidth="1"/>
    <col min="5" max="5" width="16.796875" style="0" bestFit="1" customWidth="1"/>
    <col min="6" max="6" width="14.09765625" style="0" bestFit="1" customWidth="1"/>
    <col min="7" max="7" width="16" style="0" customWidth="1"/>
    <col min="8" max="8" width="13.8984375" style="0" customWidth="1"/>
  </cols>
  <sheetData>
    <row r="1" ht="18.75">
      <c r="A1" t="s">
        <v>227</v>
      </c>
    </row>
    <row r="2" ht="18.9" thickBot="1">
      <c r="A2" t="s">
        <v>226</v>
      </c>
    </row>
    <row r="3" spans="1:4" ht="18.9" thickBot="1">
      <c r="A3" t="s">
        <v>230</v>
      </c>
      <c r="C3" s="227" t="s">
        <v>228</v>
      </c>
      <c r="D3" t="s">
        <v>229</v>
      </c>
    </row>
    <row r="12" ht="37" customHeight="1"/>
    <row r="13" ht="34" customHeight="1"/>
  </sheetData>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133"/>
  <sheetViews>
    <sheetView workbookViewId="0" topLeftCell="A1">
      <selection activeCell="C7" sqref="C7"/>
    </sheetView>
  </sheetViews>
  <sheetFormatPr defaultColWidth="8.796875" defaultRowHeight="18.75"/>
  <cols>
    <col min="1" max="1" width="30.59765625" style="0" bestFit="1" customWidth="1"/>
    <col min="2" max="2" width="5.69921875" style="0" bestFit="1" customWidth="1"/>
  </cols>
  <sheetData>
    <row r="1" spans="1:2" ht="18.75">
      <c r="A1" s="1" t="s">
        <v>0</v>
      </c>
      <c r="B1" t="s">
        <v>153</v>
      </c>
    </row>
    <row r="3" ht="18.75">
      <c r="A3" s="1" t="s">
        <v>151</v>
      </c>
    </row>
    <row r="4" ht="18.75">
      <c r="A4" s="2" t="s">
        <v>16</v>
      </c>
    </row>
    <row r="5" ht="18.75">
      <c r="A5" s="2" t="s">
        <v>19</v>
      </c>
    </row>
    <row r="6" ht="18.75">
      <c r="A6" s="2" t="s">
        <v>20</v>
      </c>
    </row>
    <row r="7" ht="18.75">
      <c r="A7" s="2" t="s">
        <v>22</v>
      </c>
    </row>
    <row r="8" ht="18.75">
      <c r="A8" s="2" t="s">
        <v>25</v>
      </c>
    </row>
    <row r="9" ht="18.75">
      <c r="A9" s="2" t="s">
        <v>26</v>
      </c>
    </row>
    <row r="10" ht="18.75">
      <c r="A10" s="2" t="s">
        <v>27</v>
      </c>
    </row>
    <row r="11" ht="18.75">
      <c r="A11" s="2" t="s">
        <v>28</v>
      </c>
    </row>
    <row r="12" ht="18.75">
      <c r="A12" s="2" t="s">
        <v>29</v>
      </c>
    </row>
    <row r="13" ht="18.75">
      <c r="A13" s="2" t="s">
        <v>30</v>
      </c>
    </row>
    <row r="14" ht="18.75">
      <c r="A14" s="2" t="s">
        <v>32</v>
      </c>
    </row>
    <row r="15" ht="18.75">
      <c r="A15" s="2" t="s">
        <v>33</v>
      </c>
    </row>
    <row r="16" ht="18.75">
      <c r="A16" s="2" t="s">
        <v>34</v>
      </c>
    </row>
    <row r="17" ht="18.75">
      <c r="A17" s="2" t="s">
        <v>35</v>
      </c>
    </row>
    <row r="18" ht="18.75">
      <c r="A18" s="2" t="s">
        <v>36</v>
      </c>
    </row>
    <row r="19" ht="18.75">
      <c r="A19" s="2" t="s">
        <v>37</v>
      </c>
    </row>
    <row r="20" ht="18.75">
      <c r="A20" s="2" t="s">
        <v>39</v>
      </c>
    </row>
    <row r="21" ht="18.75">
      <c r="A21" s="2" t="s">
        <v>40</v>
      </c>
    </row>
    <row r="22" ht="18.75">
      <c r="A22" s="2" t="s">
        <v>41</v>
      </c>
    </row>
    <row r="23" ht="18.75">
      <c r="A23" s="2" t="s">
        <v>42</v>
      </c>
    </row>
    <row r="24" ht="18.75">
      <c r="A24" s="2" t="s">
        <v>43</v>
      </c>
    </row>
    <row r="25" ht="18.75">
      <c r="A25" s="2" t="s">
        <v>44</v>
      </c>
    </row>
    <row r="26" ht="18.75">
      <c r="A26" s="2" t="s">
        <v>182</v>
      </c>
    </row>
    <row r="27" ht="18.75">
      <c r="A27" s="2" t="s">
        <v>45</v>
      </c>
    </row>
    <row r="28" ht="18.75">
      <c r="A28" s="2" t="s">
        <v>46</v>
      </c>
    </row>
    <row r="29" ht="18.75">
      <c r="A29" s="2" t="s">
        <v>47</v>
      </c>
    </row>
    <row r="30" ht="18.75">
      <c r="A30" s="2" t="s">
        <v>165</v>
      </c>
    </row>
    <row r="31" ht="18.75">
      <c r="A31" s="2" t="s">
        <v>48</v>
      </c>
    </row>
    <row r="32" ht="18.75">
      <c r="A32" s="2" t="s">
        <v>49</v>
      </c>
    </row>
    <row r="33" ht="18.75">
      <c r="A33" s="2" t="s">
        <v>50</v>
      </c>
    </row>
    <row r="34" ht="18.75">
      <c r="A34" s="2" t="s">
        <v>51</v>
      </c>
    </row>
    <row r="35" ht="18.75">
      <c r="A35" s="2" t="s">
        <v>52</v>
      </c>
    </row>
    <row r="36" ht="18.75">
      <c r="A36" s="2" t="s">
        <v>53</v>
      </c>
    </row>
    <row r="37" ht="18.75">
      <c r="A37" s="2" t="s">
        <v>166</v>
      </c>
    </row>
    <row r="38" ht="18.75">
      <c r="A38" s="2" t="s">
        <v>54</v>
      </c>
    </row>
    <row r="39" ht="18.75">
      <c r="A39" s="2" t="s">
        <v>55</v>
      </c>
    </row>
    <row r="40" ht="18.75">
      <c r="A40" s="2" t="s">
        <v>56</v>
      </c>
    </row>
    <row r="41" ht="18.75">
      <c r="A41" s="2" t="s">
        <v>57</v>
      </c>
    </row>
    <row r="42" ht="18.75">
      <c r="A42" s="2" t="s">
        <v>58</v>
      </c>
    </row>
    <row r="43" ht="18.75">
      <c r="A43" s="2" t="s">
        <v>59</v>
      </c>
    </row>
    <row r="44" ht="18.75">
      <c r="A44" s="2" t="s">
        <v>60</v>
      </c>
    </row>
    <row r="45" ht="18.75">
      <c r="A45" s="2" t="s">
        <v>61</v>
      </c>
    </row>
    <row r="46" ht="18.75">
      <c r="A46" s="2" t="s">
        <v>62</v>
      </c>
    </row>
    <row r="47" ht="18.75">
      <c r="A47" s="2" t="s">
        <v>63</v>
      </c>
    </row>
    <row r="48" ht="18.75">
      <c r="A48" s="2" t="s">
        <v>64</v>
      </c>
    </row>
    <row r="49" ht="18.75">
      <c r="A49" s="2" t="s">
        <v>65</v>
      </c>
    </row>
    <row r="50" ht="18.75">
      <c r="A50" s="2" t="s">
        <v>66</v>
      </c>
    </row>
    <row r="51" ht="18.75">
      <c r="A51" s="2" t="s">
        <v>67</v>
      </c>
    </row>
    <row r="52" ht="18.75">
      <c r="A52" s="2" t="s">
        <v>68</v>
      </c>
    </row>
    <row r="53" ht="18.75">
      <c r="A53" s="2" t="s">
        <v>69</v>
      </c>
    </row>
    <row r="54" ht="18.75">
      <c r="A54" s="2" t="s">
        <v>70</v>
      </c>
    </row>
    <row r="55" ht="18.75">
      <c r="A55" s="2" t="s">
        <v>71</v>
      </c>
    </row>
    <row r="56" ht="18.75">
      <c r="A56" s="2" t="s">
        <v>72</v>
      </c>
    </row>
    <row r="57" ht="18.75">
      <c r="A57" s="2" t="s">
        <v>73</v>
      </c>
    </row>
    <row r="58" ht="18.75">
      <c r="A58" s="2" t="s">
        <v>74</v>
      </c>
    </row>
    <row r="59" ht="18.75">
      <c r="A59" s="2" t="s">
        <v>75</v>
      </c>
    </row>
    <row r="60" ht="18.75">
      <c r="A60" s="2" t="s">
        <v>76</v>
      </c>
    </row>
    <row r="61" ht="18.75">
      <c r="A61" s="2" t="s">
        <v>77</v>
      </c>
    </row>
    <row r="62" ht="18.75">
      <c r="A62" s="2" t="s">
        <v>78</v>
      </c>
    </row>
    <row r="63" ht="18.75">
      <c r="A63" s="2" t="s">
        <v>79</v>
      </c>
    </row>
    <row r="64" ht="18.75">
      <c r="A64" s="2" t="s">
        <v>80</v>
      </c>
    </row>
    <row r="65" ht="18.75">
      <c r="A65" s="2" t="s">
        <v>81</v>
      </c>
    </row>
    <row r="66" ht="18.75">
      <c r="A66" s="2" t="s">
        <v>82</v>
      </c>
    </row>
    <row r="67" ht="18.75">
      <c r="A67" s="2" t="s">
        <v>83</v>
      </c>
    </row>
    <row r="68" ht="18.75">
      <c r="A68" s="2" t="s">
        <v>84</v>
      </c>
    </row>
    <row r="69" ht="18.75">
      <c r="A69" s="2" t="s">
        <v>85</v>
      </c>
    </row>
    <row r="70" ht="18.75">
      <c r="A70" s="2" t="s">
        <v>86</v>
      </c>
    </row>
    <row r="71" ht="18.75">
      <c r="A71" s="2" t="s">
        <v>87</v>
      </c>
    </row>
    <row r="72" ht="18.75">
      <c r="A72" s="2" t="s">
        <v>88</v>
      </c>
    </row>
    <row r="73" ht="18.75">
      <c r="A73" s="2" t="s">
        <v>89</v>
      </c>
    </row>
    <row r="74" ht="18.75">
      <c r="A74" s="2" t="s">
        <v>90</v>
      </c>
    </row>
    <row r="75" ht="18.75">
      <c r="A75" s="2" t="s">
        <v>91</v>
      </c>
    </row>
    <row r="76" ht="18.75">
      <c r="A76" s="2" t="s">
        <v>92</v>
      </c>
    </row>
    <row r="77" ht="18.75">
      <c r="A77" s="2" t="s">
        <v>93</v>
      </c>
    </row>
    <row r="78" ht="18.75">
      <c r="A78" s="2" t="s">
        <v>94</v>
      </c>
    </row>
    <row r="79" ht="18.75">
      <c r="A79" s="2" t="s">
        <v>95</v>
      </c>
    </row>
    <row r="80" ht="18.75">
      <c r="A80" s="2" t="s">
        <v>96</v>
      </c>
    </row>
    <row r="81" ht="18.75">
      <c r="A81" s="2" t="s">
        <v>97</v>
      </c>
    </row>
    <row r="82" ht="18.75">
      <c r="A82" s="2" t="s">
        <v>98</v>
      </c>
    </row>
    <row r="83" ht="18.75">
      <c r="A83" s="2" t="s">
        <v>99</v>
      </c>
    </row>
    <row r="84" ht="18.75">
      <c r="A84" s="2" t="s">
        <v>100</v>
      </c>
    </row>
    <row r="85" ht="18.75">
      <c r="A85" s="2" t="s">
        <v>101</v>
      </c>
    </row>
    <row r="86" ht="18.75">
      <c r="A86" s="2" t="s">
        <v>102</v>
      </c>
    </row>
    <row r="87" ht="18.75">
      <c r="A87" s="2" t="s">
        <v>103</v>
      </c>
    </row>
    <row r="88" ht="18.75">
      <c r="A88" s="2" t="s">
        <v>104</v>
      </c>
    </row>
    <row r="89" ht="18.75">
      <c r="A89" s="2" t="s">
        <v>105</v>
      </c>
    </row>
    <row r="90" ht="18.75">
      <c r="A90" s="2" t="s">
        <v>106</v>
      </c>
    </row>
    <row r="91" ht="18.75">
      <c r="A91" s="2" t="s">
        <v>223</v>
      </c>
    </row>
    <row r="92" ht="18.75">
      <c r="A92" s="2" t="s">
        <v>107</v>
      </c>
    </row>
    <row r="93" ht="18.75">
      <c r="A93" s="2" t="s">
        <v>108</v>
      </c>
    </row>
    <row r="94" ht="18.75">
      <c r="A94" s="2" t="s">
        <v>109</v>
      </c>
    </row>
    <row r="95" ht="18.75">
      <c r="A95" s="2" t="s">
        <v>110</v>
      </c>
    </row>
    <row r="96" ht="18.75">
      <c r="A96" s="2" t="s">
        <v>111</v>
      </c>
    </row>
    <row r="97" ht="18.75">
      <c r="A97" s="2" t="s">
        <v>112</v>
      </c>
    </row>
    <row r="98" ht="18.75">
      <c r="A98" s="2" t="s">
        <v>113</v>
      </c>
    </row>
    <row r="99" ht="18.75">
      <c r="A99" s="2" t="s">
        <v>114</v>
      </c>
    </row>
    <row r="100" ht="18.75">
      <c r="A100" s="2" t="s">
        <v>115</v>
      </c>
    </row>
    <row r="101" ht="18.75">
      <c r="A101" s="2" t="s">
        <v>116</v>
      </c>
    </row>
    <row r="102" ht="18.75">
      <c r="A102" s="2" t="s">
        <v>117</v>
      </c>
    </row>
    <row r="103" ht="18.75">
      <c r="A103" s="2" t="s">
        <v>118</v>
      </c>
    </row>
    <row r="104" ht="18.75">
      <c r="A104" s="2" t="s">
        <v>119</v>
      </c>
    </row>
    <row r="105" ht="18.75">
      <c r="A105" s="2" t="s">
        <v>120</v>
      </c>
    </row>
    <row r="106" ht="18.75">
      <c r="A106" s="2" t="s">
        <v>121</v>
      </c>
    </row>
    <row r="107" ht="18.75">
      <c r="A107" s="2" t="s">
        <v>122</v>
      </c>
    </row>
    <row r="108" ht="18.75">
      <c r="A108" s="2" t="s">
        <v>123</v>
      </c>
    </row>
    <row r="109" ht="18.75">
      <c r="A109" s="2" t="s">
        <v>124</v>
      </c>
    </row>
    <row r="110" ht="18.75">
      <c r="A110" s="2" t="s">
        <v>125</v>
      </c>
    </row>
    <row r="111" ht="18.75">
      <c r="A111" s="2" t="s">
        <v>126</v>
      </c>
    </row>
    <row r="112" ht="18.75">
      <c r="A112" s="2" t="s">
        <v>127</v>
      </c>
    </row>
    <row r="113" ht="18.75">
      <c r="A113" s="2" t="s">
        <v>128</v>
      </c>
    </row>
    <row r="114" ht="18.75">
      <c r="A114" s="2" t="s">
        <v>129</v>
      </c>
    </row>
    <row r="115" ht="18.75">
      <c r="A115" s="2" t="s">
        <v>130</v>
      </c>
    </row>
    <row r="116" ht="18.75">
      <c r="A116" s="2" t="s">
        <v>131</v>
      </c>
    </row>
    <row r="117" ht="18.75">
      <c r="A117" s="2" t="s">
        <v>132</v>
      </c>
    </row>
    <row r="118" ht="18.75">
      <c r="A118" s="2" t="s">
        <v>133</v>
      </c>
    </row>
    <row r="119" ht="18.75">
      <c r="A119" s="2" t="s">
        <v>134</v>
      </c>
    </row>
    <row r="120" ht="18.75">
      <c r="A120" s="2" t="s">
        <v>135</v>
      </c>
    </row>
    <row r="121" ht="18.75">
      <c r="A121" s="2" t="s">
        <v>136</v>
      </c>
    </row>
    <row r="122" ht="18.75">
      <c r="A122" s="2" t="s">
        <v>137</v>
      </c>
    </row>
    <row r="123" ht="18.75">
      <c r="A123" s="2" t="s">
        <v>138</v>
      </c>
    </row>
    <row r="124" ht="18.75">
      <c r="A124" s="2" t="s">
        <v>139</v>
      </c>
    </row>
    <row r="125" ht="18.75">
      <c r="A125" s="2" t="s">
        <v>140</v>
      </c>
    </row>
    <row r="126" ht="18.75">
      <c r="A126" s="2" t="s">
        <v>141</v>
      </c>
    </row>
    <row r="127" ht="18.75">
      <c r="A127" s="2" t="s">
        <v>142</v>
      </c>
    </row>
    <row r="128" ht="18.75">
      <c r="A128" s="2" t="s">
        <v>143</v>
      </c>
    </row>
    <row r="129" ht="18.75">
      <c r="A129" s="2" t="s">
        <v>144</v>
      </c>
    </row>
    <row r="130" ht="18.75">
      <c r="A130" s="2" t="s">
        <v>145</v>
      </c>
    </row>
    <row r="131" ht="18.75">
      <c r="A131" s="2" t="s">
        <v>146</v>
      </c>
    </row>
    <row r="132" ht="18.75">
      <c r="A132" s="2" t="s">
        <v>224</v>
      </c>
    </row>
    <row r="133" ht="18.75">
      <c r="A133" s="2" t="s">
        <v>152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14"/>
  <sheetViews>
    <sheetView workbookViewId="0" topLeftCell="A1">
      <pane xSplit="2" ySplit="1" topLeftCell="C13" activePane="bottomRight" state="frozen"/>
      <selection pane="topRight" activeCell="C1" sqref="C1"/>
      <selection pane="bottomLeft" activeCell="A2" sqref="A2"/>
      <selection pane="bottomRight" activeCell="C17" sqref="C17"/>
    </sheetView>
  </sheetViews>
  <sheetFormatPr defaultColWidth="8.796875" defaultRowHeight="18.75"/>
  <cols>
    <col min="1" max="1" width="17.8984375" style="0" customWidth="1"/>
    <col min="3" max="3" width="15.5" style="0" customWidth="1"/>
    <col min="4" max="4" width="11.8984375" style="0" customWidth="1"/>
    <col min="6" max="6" width="9.3984375" style="0" customWidth="1"/>
    <col min="7" max="7" width="14.59765625" style="0" bestFit="1" customWidth="1"/>
    <col min="8" max="8" width="15.296875" style="0" customWidth="1"/>
    <col min="9" max="9" width="13.19921875" style="0" customWidth="1"/>
    <col min="10" max="10" width="11.796875" style="0" customWidth="1"/>
    <col min="11" max="11" width="11.796875" style="0" bestFit="1" customWidth="1"/>
    <col min="12" max="12" width="13.19921875" style="0" customWidth="1"/>
    <col min="13" max="13" width="11.796875" style="0" customWidth="1"/>
    <col min="14" max="14" width="13.796875" style="0" customWidth="1"/>
    <col min="15" max="15" width="12.59765625" style="0" customWidth="1"/>
  </cols>
  <sheetData>
    <row r="1" spans="1:15" ht="33.55" customHeight="1">
      <c r="A1" s="77" t="s">
        <v>0</v>
      </c>
      <c r="B1" s="78" t="s">
        <v>1</v>
      </c>
      <c r="C1" s="78" t="s">
        <v>2</v>
      </c>
      <c r="D1" s="78" t="s">
        <v>3</v>
      </c>
      <c r="E1" s="78" t="s">
        <v>4</v>
      </c>
      <c r="F1" s="78" t="s">
        <v>5</v>
      </c>
      <c r="G1" s="78" t="s">
        <v>6</v>
      </c>
      <c r="H1" s="78" t="s">
        <v>168</v>
      </c>
      <c r="I1" s="78" t="s">
        <v>7</v>
      </c>
      <c r="J1" s="78" t="s">
        <v>8</v>
      </c>
      <c r="K1" s="78" t="s">
        <v>9</v>
      </c>
      <c r="L1" s="78" t="s">
        <v>10</v>
      </c>
      <c r="M1" s="78" t="s">
        <v>11</v>
      </c>
      <c r="N1" s="78" t="s">
        <v>12</v>
      </c>
      <c r="O1" s="79" t="s">
        <v>13</v>
      </c>
    </row>
    <row r="2" spans="1:15" ht="18.75">
      <c r="A2" s="221" t="str">
        <f>INDEX(Lookup!$A$1:$A$126,MATCH(DataYY03!C2,Lookup!$C$1:$C$126,0))</f>
        <v>Elementary School</v>
      </c>
      <c r="B2" s="222" t="s">
        <v>15</v>
      </c>
      <c r="C2" s="193" t="s">
        <v>16</v>
      </c>
      <c r="D2" s="193" t="s">
        <v>17</v>
      </c>
      <c r="E2" s="194">
        <v>109321</v>
      </c>
      <c r="F2" s="195">
        <v>36526</v>
      </c>
      <c r="G2" s="194">
        <v>3687.41664</v>
      </c>
      <c r="H2" s="194">
        <v>3731.63616</v>
      </c>
      <c r="I2" s="196">
        <v>1.199200532978012</v>
      </c>
      <c r="J2" s="197">
        <v>92005.63</v>
      </c>
      <c r="K2" s="197">
        <v>83845.05</v>
      </c>
      <c r="L2" s="198">
        <v>-8.8696528679821</v>
      </c>
      <c r="M2" s="194">
        <v>5990</v>
      </c>
      <c r="N2" s="194">
        <v>5925</v>
      </c>
      <c r="O2" s="196">
        <v>-1.0851419031719534</v>
      </c>
    </row>
    <row r="3" spans="1:15" ht="18.75">
      <c r="A3" s="221" t="str">
        <f>INDEX(Lookup!$A$1:$A$126,MATCH(DataYY03!C3,Lookup!$C$1:$C$126,0))</f>
        <v>Special School</v>
      </c>
      <c r="B3" s="222" t="s">
        <v>15</v>
      </c>
      <c r="C3" s="193" t="s">
        <v>19</v>
      </c>
      <c r="D3" s="193" t="s">
        <v>17</v>
      </c>
      <c r="E3" s="194">
        <v>56061</v>
      </c>
      <c r="F3" s="195">
        <v>36526</v>
      </c>
      <c r="G3" s="194">
        <v>2682.6508799999997</v>
      </c>
      <c r="H3" s="194">
        <v>2507.083008</v>
      </c>
      <c r="I3" s="196">
        <v>-6.54456654456653</v>
      </c>
      <c r="J3" s="197">
        <v>66699.75</v>
      </c>
      <c r="K3" s="197">
        <v>57548.75</v>
      </c>
      <c r="L3" s="198">
        <v>-13.71969160304199</v>
      </c>
      <c r="M3" s="194">
        <v>4213</v>
      </c>
      <c r="N3" s="194">
        <v>4246</v>
      </c>
      <c r="O3" s="196">
        <v>0.783289817232376</v>
      </c>
    </row>
    <row r="4" spans="1:15" ht="18.75">
      <c r="A4" s="221" t="str">
        <f>INDEX(Lookup!$A$1:$A$126,MATCH(DataYY03!C4,Lookup!$C$1:$C$126,0))</f>
        <v>Special School</v>
      </c>
      <c r="B4" s="222" t="s">
        <v>15</v>
      </c>
      <c r="C4" s="193" t="s">
        <v>20</v>
      </c>
      <c r="D4" s="193" t="s">
        <v>21</v>
      </c>
      <c r="E4" s="194">
        <v>50839</v>
      </c>
      <c r="F4" s="195">
        <v>36526</v>
      </c>
      <c r="G4" s="194">
        <v>1633.501824</v>
      </c>
      <c r="H4" s="194">
        <v>1845.100416</v>
      </c>
      <c r="I4" s="196">
        <v>12.953679566873875</v>
      </c>
      <c r="J4" s="197">
        <v>41098.28</v>
      </c>
      <c r="K4" s="197">
        <v>40143.02</v>
      </c>
      <c r="L4" s="198">
        <v>-2.3243308479089633</v>
      </c>
      <c r="M4" s="194">
        <v>2568</v>
      </c>
      <c r="N4" s="194">
        <v>2632</v>
      </c>
      <c r="O4" s="196">
        <v>2.492211838006231</v>
      </c>
    </row>
    <row r="5" spans="1:15" ht="18.75">
      <c r="A5" s="221" t="str">
        <f>INDEX(Lookup!$A$1:$A$126,MATCH(DataYY03!C5,Lookup!$C$1:$C$126,0))</f>
        <v>Elementary School</v>
      </c>
      <c r="B5" s="222" t="s">
        <v>15</v>
      </c>
      <c r="C5" s="193" t="s">
        <v>22</v>
      </c>
      <c r="D5" s="193" t="s">
        <v>23</v>
      </c>
      <c r="E5" s="194">
        <v>107836</v>
      </c>
      <c r="F5" s="195">
        <v>36526</v>
      </c>
      <c r="G5" s="194">
        <v>3939.1403519999994</v>
      </c>
      <c r="H5" s="194">
        <v>3862.493184</v>
      </c>
      <c r="I5" s="196">
        <v>-1.9457841343755038</v>
      </c>
      <c r="J5" s="197">
        <v>95655.72</v>
      </c>
      <c r="K5" s="197">
        <v>83470.42</v>
      </c>
      <c r="L5" s="198">
        <v>-12.738705014190472</v>
      </c>
      <c r="M5" s="194">
        <v>5653</v>
      </c>
      <c r="N5" s="194">
        <v>5450</v>
      </c>
      <c r="O5" s="196">
        <v>-3.5910136210861494</v>
      </c>
    </row>
    <row r="6" spans="1:15" ht="18.75">
      <c r="A6" s="221" t="str">
        <f>INDEX(Lookup!$A$1:$A$126,MATCH(DataYY03!C6,Lookup!$C$1:$C$126,0))</f>
        <v>Middle School</v>
      </c>
      <c r="B6" s="222" t="s">
        <v>15</v>
      </c>
      <c r="C6" s="193" t="s">
        <v>25</v>
      </c>
      <c r="D6" s="193" t="s">
        <v>23</v>
      </c>
      <c r="E6" s="194">
        <v>244123</v>
      </c>
      <c r="F6" s="195">
        <v>36526</v>
      </c>
      <c r="G6" s="194">
        <v>6516.442320000001</v>
      </c>
      <c r="H6" s="194">
        <v>6930.392984</v>
      </c>
      <c r="I6" s="196">
        <v>6.35240279392205</v>
      </c>
      <c r="J6" s="197">
        <v>152597.41</v>
      </c>
      <c r="K6" s="197">
        <v>148222.56</v>
      </c>
      <c r="L6" s="198">
        <v>-2.8669228396471476</v>
      </c>
      <c r="M6" s="194">
        <v>10812</v>
      </c>
      <c r="N6" s="194">
        <v>11233</v>
      </c>
      <c r="O6" s="196">
        <v>3.8938216796152427</v>
      </c>
    </row>
    <row r="7" spans="1:15" ht="18.75">
      <c r="A7" s="221" t="str">
        <f>INDEX(Lookup!$A$1:$A$126,MATCH(DataYY03!C7,Lookup!$C$1:$C$126,0))</f>
        <v>Middle School</v>
      </c>
      <c r="B7" s="222" t="s">
        <v>15</v>
      </c>
      <c r="C7" s="193" t="s">
        <v>26</v>
      </c>
      <c r="D7" s="193" t="s">
        <v>17</v>
      </c>
      <c r="E7" s="194">
        <v>219821</v>
      </c>
      <c r="F7" s="195">
        <v>36526</v>
      </c>
      <c r="G7" s="194">
        <v>7722.809512000002</v>
      </c>
      <c r="H7" s="194">
        <v>7749.279808</v>
      </c>
      <c r="I7" s="196">
        <v>0.3427547443565499</v>
      </c>
      <c r="J7" s="197">
        <v>197642.59</v>
      </c>
      <c r="K7" s="197">
        <v>160667.83</v>
      </c>
      <c r="L7" s="198">
        <v>-18.707890844781986</v>
      </c>
      <c r="M7" s="194">
        <v>10866</v>
      </c>
      <c r="N7" s="194">
        <v>10265</v>
      </c>
      <c r="O7" s="196">
        <v>-5.531014172648629</v>
      </c>
    </row>
    <row r="8" spans="1:15" ht="18.75">
      <c r="A8" s="221" t="str">
        <f>INDEX(Lookup!$A$1:$A$126,MATCH(DataYY03!C8,Lookup!$C$1:$C$126,0))</f>
        <v>Middle School</v>
      </c>
      <c r="B8" s="222" t="s">
        <v>15</v>
      </c>
      <c r="C8" s="193" t="s">
        <v>27</v>
      </c>
      <c r="D8" s="193" t="s">
        <v>23</v>
      </c>
      <c r="E8" s="194">
        <v>211238</v>
      </c>
      <c r="F8" s="195">
        <v>36526</v>
      </c>
      <c r="G8" s="194">
        <v>7784.402935999999</v>
      </c>
      <c r="H8" s="194">
        <v>7975.051848</v>
      </c>
      <c r="I8" s="196">
        <v>2.4491141268949583</v>
      </c>
      <c r="J8" s="197">
        <v>145824.96</v>
      </c>
      <c r="K8" s="197">
        <v>145448.18</v>
      </c>
      <c r="L8" s="198">
        <v>-0.25837826391311886</v>
      </c>
      <c r="M8" s="194">
        <v>6250</v>
      </c>
      <c r="N8" s="194">
        <v>6341</v>
      </c>
      <c r="O8" s="196">
        <v>1.456</v>
      </c>
    </row>
    <row r="9" spans="1:15" ht="18.75">
      <c r="A9" s="221" t="str">
        <f>INDEX(Lookup!$A$1:$A$126,MATCH(DataYY03!C9,Lookup!$C$1:$C$126,0))</f>
        <v>Elementary School</v>
      </c>
      <c r="B9" s="222" t="s">
        <v>15</v>
      </c>
      <c r="C9" s="193" t="s">
        <v>28</v>
      </c>
      <c r="D9" s="193" t="s">
        <v>23</v>
      </c>
      <c r="E9" s="194">
        <v>89416</v>
      </c>
      <c r="F9" s="195">
        <v>36526</v>
      </c>
      <c r="G9" s="194">
        <v>2421.264384</v>
      </c>
      <c r="H9" s="194">
        <v>1956.1405439999999</v>
      </c>
      <c r="I9" s="196">
        <v>-19.209956709956707</v>
      </c>
      <c r="J9" s="197">
        <v>62005.56</v>
      </c>
      <c r="K9" s="197">
        <v>45215.28</v>
      </c>
      <c r="L9" s="198">
        <v>-27.078668429089262</v>
      </c>
      <c r="M9" s="194">
        <v>3575</v>
      </c>
      <c r="N9" s="194">
        <v>2973</v>
      </c>
      <c r="O9" s="196">
        <v>-16.83916083916084</v>
      </c>
    </row>
    <row r="10" spans="1:15" ht="18.75">
      <c r="A10" s="221" t="str">
        <f>INDEX(Lookup!$A$1:$A$126,MATCH(DataYY03!C10,Lookup!$C$1:$C$126,0))</f>
        <v>Elementary School</v>
      </c>
      <c r="B10" s="222" t="s">
        <v>15</v>
      </c>
      <c r="C10" s="193" t="s">
        <v>29</v>
      </c>
      <c r="D10" s="193" t="s">
        <v>17</v>
      </c>
      <c r="E10" s="194">
        <v>106804</v>
      </c>
      <c r="F10" s="195">
        <v>36526</v>
      </c>
      <c r="G10" s="194">
        <v>3570.9719039999995</v>
      </c>
      <c r="H10" s="194">
        <v>3502.8410879999997</v>
      </c>
      <c r="I10" s="196">
        <v>-1.9079068060906192</v>
      </c>
      <c r="J10" s="197">
        <v>90653.14</v>
      </c>
      <c r="K10" s="197">
        <v>81293.87</v>
      </c>
      <c r="L10" s="198">
        <v>-10.32426455388087</v>
      </c>
      <c r="M10" s="194">
        <v>5675</v>
      </c>
      <c r="N10" s="194">
        <v>5619</v>
      </c>
      <c r="O10" s="196">
        <v>-0.986784140969163</v>
      </c>
    </row>
    <row r="11" spans="1:15" ht="18.75">
      <c r="A11" s="221" t="str">
        <f>INDEX(Lookup!$A$1:$A$126,MATCH(DataYY03!C11,Lookup!$C$1:$C$126,0))</f>
        <v>Elementary School</v>
      </c>
      <c r="B11" s="222" t="s">
        <v>15</v>
      </c>
      <c r="C11" s="193" t="s">
        <v>30</v>
      </c>
      <c r="D11" s="193" t="s">
        <v>17</v>
      </c>
      <c r="E11" s="194">
        <v>85320</v>
      </c>
      <c r="F11" s="195">
        <v>36526</v>
      </c>
      <c r="G11" s="194">
        <v>2801.5522559999995</v>
      </c>
      <c r="H11" s="194">
        <v>2500.85952</v>
      </c>
      <c r="I11" s="196">
        <v>-10.733076113644323</v>
      </c>
      <c r="J11" s="197">
        <v>69866.19</v>
      </c>
      <c r="K11" s="197">
        <v>57222.27</v>
      </c>
      <c r="L11" s="198">
        <v>-18.097337209886497</v>
      </c>
      <c r="M11" s="194">
        <v>4104</v>
      </c>
      <c r="N11" s="194">
        <v>3727</v>
      </c>
      <c r="O11" s="196">
        <v>-9.18615984405458</v>
      </c>
    </row>
    <row r="12" spans="1:15" ht="18.75">
      <c r="A12" s="221" t="str">
        <f>INDEX(Lookup!$A$1:$A$126,MATCH(DataYY03!C12,Lookup!$C$1:$C$126,0))</f>
        <v>Administration</v>
      </c>
      <c r="B12" s="222" t="s">
        <v>15</v>
      </c>
      <c r="C12" s="193" t="s">
        <v>32</v>
      </c>
      <c r="D12" s="193" t="s">
        <v>17</v>
      </c>
      <c r="E12" s="194">
        <v>22677</v>
      </c>
      <c r="F12" s="195">
        <v>36526</v>
      </c>
      <c r="G12" s="194">
        <v>1344.6009600000002</v>
      </c>
      <c r="H12" s="194">
        <v>1149.052416</v>
      </c>
      <c r="I12" s="196">
        <v>-14.543239951278947</v>
      </c>
      <c r="J12" s="197">
        <v>29071.1</v>
      </c>
      <c r="K12" s="197">
        <v>22460.85</v>
      </c>
      <c r="L12" s="198">
        <v>-22.738217680101542</v>
      </c>
      <c r="M12" s="194">
        <v>1470</v>
      </c>
      <c r="N12" s="194">
        <v>1297</v>
      </c>
      <c r="O12" s="196">
        <v>-11.768707482993198</v>
      </c>
    </row>
    <row r="13" spans="1:15" ht="18.75">
      <c r="A13" s="221" t="str">
        <f>INDEX(Lookup!$A$1:$A$126,MATCH(DataYY03!C13,Lookup!$C$1:$C$126,0))</f>
        <v>Administration</v>
      </c>
      <c r="B13" s="222" t="s">
        <v>15</v>
      </c>
      <c r="C13" s="193" t="s">
        <v>33</v>
      </c>
      <c r="D13" s="193" t="s">
        <v>23</v>
      </c>
      <c r="E13" s="194">
        <v>491434</v>
      </c>
      <c r="F13" s="195">
        <v>36526</v>
      </c>
      <c r="G13" s="194">
        <v>17888.003687999997</v>
      </c>
      <c r="H13" s="194">
        <v>18486.700504000004</v>
      </c>
      <c r="I13" s="196">
        <v>3.346918004056735</v>
      </c>
      <c r="J13" s="197">
        <v>394395.38</v>
      </c>
      <c r="K13" s="197">
        <v>359401.35</v>
      </c>
      <c r="L13" s="198">
        <v>-8.872829595519097</v>
      </c>
      <c r="M13" s="194">
        <v>17884</v>
      </c>
      <c r="N13" s="194">
        <v>18054</v>
      </c>
      <c r="O13" s="196">
        <v>0.9505703422053231</v>
      </c>
    </row>
    <row r="14" spans="1:15" ht="18.75">
      <c r="A14" s="221" t="str">
        <f>INDEX(Lookup!$A$1:$A$126,MATCH(DataYY03!C14,Lookup!$C$1:$C$126,0))</f>
        <v>Elementary School</v>
      </c>
      <c r="B14" s="222" t="s">
        <v>15</v>
      </c>
      <c r="C14" s="193" t="s">
        <v>34</v>
      </c>
      <c r="D14" s="193" t="s">
        <v>17</v>
      </c>
      <c r="E14" s="194">
        <v>106488</v>
      </c>
      <c r="F14" s="195">
        <v>36526</v>
      </c>
      <c r="G14" s="194">
        <v>4598.83008</v>
      </c>
      <c r="H14" s="194">
        <v>4208.388096000001</v>
      </c>
      <c r="I14" s="196">
        <v>-8.490028490028475</v>
      </c>
      <c r="J14" s="197">
        <v>110946.37</v>
      </c>
      <c r="K14" s="197">
        <v>91267.09</v>
      </c>
      <c r="L14" s="198">
        <v>-17.73765108313143</v>
      </c>
      <c r="M14" s="194">
        <v>6880</v>
      </c>
      <c r="N14" s="194">
        <v>6244</v>
      </c>
      <c r="O14" s="196">
        <v>-9.244186046511627</v>
      </c>
    </row>
    <row r="15" spans="1:15" ht="18.75">
      <c r="A15" s="221" t="str">
        <f>INDEX(Lookup!$A$1:$A$126,MATCH(DataYY03!C15,Lookup!$C$1:$C$126,0))</f>
        <v>Elementary School</v>
      </c>
      <c r="B15" s="222" t="s">
        <v>15</v>
      </c>
      <c r="C15" s="193" t="s">
        <v>35</v>
      </c>
      <c r="D15" s="193" t="s">
        <v>23</v>
      </c>
      <c r="E15" s="194">
        <v>97384</v>
      </c>
      <c r="F15" s="195">
        <v>36526</v>
      </c>
      <c r="G15" s="194">
        <v>3240.9086720000005</v>
      </c>
      <c r="H15" s="194">
        <v>3103.8827520000004</v>
      </c>
      <c r="I15" s="196">
        <v>-4.228009298251525</v>
      </c>
      <c r="J15" s="197">
        <v>80132.86</v>
      </c>
      <c r="K15" s="197">
        <v>71456.06</v>
      </c>
      <c r="L15" s="198">
        <v>-10.82801737015252</v>
      </c>
      <c r="M15" s="194">
        <v>4878</v>
      </c>
      <c r="N15" s="194">
        <v>5045</v>
      </c>
      <c r="O15" s="196">
        <v>3.4235342353423532</v>
      </c>
    </row>
    <row r="16" spans="1:15" ht="18.75">
      <c r="A16" s="221" t="str">
        <f>INDEX(Lookup!$A$1:$A$126,MATCH(DataYY03!C16,Lookup!$C$1:$C$126,0))</f>
        <v>Middle School</v>
      </c>
      <c r="B16" s="222" t="s">
        <v>15</v>
      </c>
      <c r="C16" s="193" t="s">
        <v>36</v>
      </c>
      <c r="D16" s="193" t="s">
        <v>17</v>
      </c>
      <c r="E16" s="194">
        <v>229363</v>
      </c>
      <c r="F16" s="195">
        <v>36526</v>
      </c>
      <c r="G16" s="194">
        <v>7213.145423999999</v>
      </c>
      <c r="H16" s="194">
        <v>6747.902164</v>
      </c>
      <c r="I16" s="196">
        <v>-6.449935952379587</v>
      </c>
      <c r="J16" s="197">
        <v>170915.84</v>
      </c>
      <c r="K16" s="197">
        <v>140671.25</v>
      </c>
      <c r="L16" s="198">
        <v>-17.69560387147265</v>
      </c>
      <c r="M16" s="194">
        <v>8001</v>
      </c>
      <c r="N16" s="194">
        <v>7303</v>
      </c>
      <c r="O16" s="196">
        <v>-8.723909511311087</v>
      </c>
    </row>
    <row r="17" spans="1:15" ht="18.75">
      <c r="A17" s="221" t="str">
        <f>INDEX(Lookup!$A$1:$A$126,MATCH(DataYY03!C17,Lookup!$C$1:$C$126,0))</f>
        <v>Administration</v>
      </c>
      <c r="B17" s="222" t="s">
        <v>15</v>
      </c>
      <c r="C17" s="193" t="s">
        <v>37</v>
      </c>
      <c r="D17" s="193" t="s">
        <v>23</v>
      </c>
      <c r="E17" s="194">
        <v>18144</v>
      </c>
      <c r="F17" s="195">
        <v>36526</v>
      </c>
      <c r="G17" s="194">
        <v>1850.6688000000001</v>
      </c>
      <c r="H17" s="194">
        <v>1957.7783040000002</v>
      </c>
      <c r="I17" s="196">
        <v>5.787610619469026</v>
      </c>
      <c r="J17" s="197">
        <v>36083.66</v>
      </c>
      <c r="K17" s="197">
        <v>33906.99</v>
      </c>
      <c r="L17" s="198">
        <v>-6.032287190379247</v>
      </c>
      <c r="M17" s="194">
        <v>1361</v>
      </c>
      <c r="N17" s="194">
        <v>1507</v>
      </c>
      <c r="O17" s="196">
        <v>10.727406318883174</v>
      </c>
    </row>
    <row r="18" spans="1:15" ht="18.75">
      <c r="A18" s="221" t="str">
        <f>INDEX(Lookup!$A$1:$A$126,MATCH(DataYY03!C18,Lookup!$C$1:$C$126,0))</f>
        <v>Special School</v>
      </c>
      <c r="B18" s="222" t="s">
        <v>15</v>
      </c>
      <c r="C18" s="193" t="s">
        <v>222</v>
      </c>
      <c r="D18" s="193" t="s">
        <v>17</v>
      </c>
      <c r="E18" s="193">
        <f>78315+7680</f>
        <v>85995</v>
      </c>
      <c r="F18" s="193"/>
      <c r="G18" s="194">
        <v>3395.9465400000004</v>
      </c>
      <c r="H18" s="194">
        <v>2646.5382719999993</v>
      </c>
      <c r="I18" s="196">
        <v>-22.06772866336114</v>
      </c>
      <c r="J18" s="197">
        <v>85582.3</v>
      </c>
      <c r="K18" s="197">
        <v>57831.59</v>
      </c>
      <c r="L18" s="198">
        <v>-32.425758597280044</v>
      </c>
      <c r="M18" s="194">
        <v>3740</v>
      </c>
      <c r="N18" s="194">
        <v>3136</v>
      </c>
      <c r="O18" s="196">
        <v>-16.149732620320854</v>
      </c>
    </row>
    <row r="19" spans="1:15" ht="18.75">
      <c r="A19" s="221" t="str">
        <f>INDEX(Lookup!$A$1:$A$126,MATCH(DataYY03!C19,Lookup!$C$1:$C$126,0))</f>
        <v>High School</v>
      </c>
      <c r="B19" s="222" t="s">
        <v>15</v>
      </c>
      <c r="C19" s="193" t="s">
        <v>39</v>
      </c>
      <c r="D19" s="193" t="s">
        <v>23</v>
      </c>
      <c r="E19" s="194">
        <v>573468</v>
      </c>
      <c r="F19" s="195">
        <v>36526</v>
      </c>
      <c r="G19" s="194">
        <v>16161.006239999999</v>
      </c>
      <c r="H19" s="194">
        <v>18077.15132</v>
      </c>
      <c r="I19" s="196">
        <v>11.856595137358253</v>
      </c>
      <c r="J19" s="197">
        <v>383517.79</v>
      </c>
      <c r="K19" s="197">
        <v>378802.98</v>
      </c>
      <c r="L19" s="198">
        <v>-1.2293588779806017</v>
      </c>
      <c r="M19" s="194">
        <v>23847</v>
      </c>
      <c r="N19" s="194">
        <v>25360</v>
      </c>
      <c r="O19" s="196">
        <v>6.344613578227869</v>
      </c>
    </row>
    <row r="20" spans="1:15" ht="18.75">
      <c r="A20" s="221" t="str">
        <f>INDEX(Lookup!$A$1:$A$126,MATCH(DataYY03!C20,Lookup!$C$1:$C$126,0))</f>
        <v>Middle School</v>
      </c>
      <c r="B20" s="222" t="s">
        <v>15</v>
      </c>
      <c r="C20" s="193" t="s">
        <v>40</v>
      </c>
      <c r="D20" s="193" t="s">
        <v>17</v>
      </c>
      <c r="E20" s="194">
        <v>233575</v>
      </c>
      <c r="F20" s="195">
        <v>36526</v>
      </c>
      <c r="G20" s="194">
        <v>9543.101276</v>
      </c>
      <c r="H20" s="194">
        <v>8693.079952</v>
      </c>
      <c r="I20" s="196">
        <v>-8.907181213068789</v>
      </c>
      <c r="J20" s="197">
        <v>235922.66</v>
      </c>
      <c r="K20" s="197">
        <v>185774.22</v>
      </c>
      <c r="L20" s="198">
        <v>-21.256304926368667</v>
      </c>
      <c r="M20" s="194">
        <v>11940</v>
      </c>
      <c r="N20" s="194">
        <v>10789</v>
      </c>
      <c r="O20" s="196">
        <v>-9.639865996649917</v>
      </c>
    </row>
    <row r="21" spans="1:15" ht="18.75">
      <c r="A21" s="221" t="str">
        <f>INDEX(Lookup!$A$1:$A$126,MATCH(DataYY03!C21,Lookup!$C$1:$C$126,0))</f>
        <v>Administration</v>
      </c>
      <c r="B21" s="222" t="s">
        <v>15</v>
      </c>
      <c r="C21" s="193" t="s">
        <v>41</v>
      </c>
      <c r="D21" s="193" t="s">
        <v>17</v>
      </c>
      <c r="E21" s="194">
        <v>49471</v>
      </c>
      <c r="F21" s="195">
        <v>36526</v>
      </c>
      <c r="G21" s="194">
        <v>10955.638567999997</v>
      </c>
      <c r="H21" s="194">
        <v>12853.798996</v>
      </c>
      <c r="I21" s="196">
        <v>17.32587668184201</v>
      </c>
      <c r="J21" s="197">
        <v>221954.89</v>
      </c>
      <c r="K21" s="197">
        <v>229066.48</v>
      </c>
      <c r="L21" s="198">
        <v>3.2040699801657895</v>
      </c>
      <c r="M21" s="194">
        <v>8248</v>
      </c>
      <c r="N21" s="194">
        <v>9206</v>
      </c>
      <c r="O21" s="196">
        <v>11.61493695441319</v>
      </c>
    </row>
    <row r="22" spans="1:15" ht="18.75">
      <c r="A22" s="221" t="str">
        <f>INDEX(Lookup!$A$1:$A$126,MATCH(DataYY03!C22,Lookup!$C$1:$C$126,0))</f>
        <v>Middle School</v>
      </c>
      <c r="B22" s="222" t="s">
        <v>15</v>
      </c>
      <c r="C22" s="193" t="s">
        <v>42</v>
      </c>
      <c r="D22" s="193" t="s">
        <v>17</v>
      </c>
      <c r="E22" s="194">
        <v>204629</v>
      </c>
      <c r="F22" s="195">
        <v>36526</v>
      </c>
      <c r="G22" s="194">
        <v>7078.511316</v>
      </c>
      <c r="H22" s="194">
        <v>6967.979576000001</v>
      </c>
      <c r="I22" s="196">
        <v>-1.5615111012135707</v>
      </c>
      <c r="J22" s="197">
        <v>153788.23</v>
      </c>
      <c r="K22" s="197">
        <v>142773.51</v>
      </c>
      <c r="L22" s="198">
        <v>-7.162264628443933</v>
      </c>
      <c r="M22" s="194">
        <v>8758</v>
      </c>
      <c r="N22" s="194">
        <v>8169</v>
      </c>
      <c r="O22" s="196">
        <v>-6.725279744233843</v>
      </c>
    </row>
    <row r="23" spans="1:15" ht="18.75">
      <c r="A23" s="221" t="str">
        <f>INDEX(Lookup!$A$1:$A$126,MATCH(DataYY03!C23,Lookup!$C$1:$C$126,0))</f>
        <v>Elementary School</v>
      </c>
      <c r="B23" s="222" t="s">
        <v>15</v>
      </c>
      <c r="C23" s="193" t="s">
        <v>43</v>
      </c>
      <c r="D23" s="193" t="s">
        <v>17</v>
      </c>
      <c r="E23" s="194">
        <v>86318</v>
      </c>
      <c r="F23" s="195">
        <v>36526</v>
      </c>
      <c r="G23" s="194">
        <v>3139.5859200000004</v>
      </c>
      <c r="H23" s="194">
        <v>3193.632</v>
      </c>
      <c r="I23" s="196">
        <v>1.7214397496087472</v>
      </c>
      <c r="J23" s="197">
        <v>82943.86</v>
      </c>
      <c r="K23" s="197">
        <v>74828.91</v>
      </c>
      <c r="L23" s="198">
        <v>-9.783665722815408</v>
      </c>
      <c r="M23" s="194">
        <v>5806</v>
      </c>
      <c r="N23" s="194">
        <v>5602</v>
      </c>
      <c r="O23" s="196">
        <v>-3.5136066138477435</v>
      </c>
    </row>
    <row r="24" spans="1:15" ht="18.75">
      <c r="A24" s="221" t="str">
        <f>INDEX(Lookup!$A$1:$A$126,MATCH(DataYY03!C24,Lookup!$C$1:$C$126,0))</f>
        <v>High School</v>
      </c>
      <c r="B24" s="222" t="s">
        <v>15</v>
      </c>
      <c r="C24" s="193" t="s">
        <v>44</v>
      </c>
      <c r="D24" s="193" t="s">
        <v>17</v>
      </c>
      <c r="E24" s="194">
        <v>525576</v>
      </c>
      <c r="F24" s="195">
        <v>36526</v>
      </c>
      <c r="G24" s="194">
        <v>17419.42008</v>
      </c>
      <c r="H24" s="194">
        <v>19897.876408</v>
      </c>
      <c r="I24" s="196">
        <v>14.228121927236987</v>
      </c>
      <c r="J24" s="197">
        <v>445629.77</v>
      </c>
      <c r="K24" s="197">
        <v>387714.03</v>
      </c>
      <c r="L24" s="198">
        <v>-12.996380380960634</v>
      </c>
      <c r="M24" s="194">
        <v>22775</v>
      </c>
      <c r="N24" s="194">
        <v>22271</v>
      </c>
      <c r="O24" s="196">
        <v>-2.2129527991218443</v>
      </c>
    </row>
    <row r="25" spans="1:15" ht="18.75">
      <c r="A25" s="221" t="str">
        <f>INDEX(Lookup!$A$1:$A$126,MATCH(DataYY03!C25,Lookup!$C$1:$C$126,0))</f>
        <v>Administration</v>
      </c>
      <c r="B25" s="222" t="s">
        <v>15</v>
      </c>
      <c r="C25" s="193" t="s">
        <v>45</v>
      </c>
      <c r="D25" s="193" t="s">
        <v>23</v>
      </c>
      <c r="E25" s="194">
        <v>0</v>
      </c>
      <c r="F25" s="195">
        <v>36526</v>
      </c>
      <c r="G25" s="194">
        <v>9.20793</v>
      </c>
      <c r="H25" s="194">
        <v>3.831676</v>
      </c>
      <c r="I25" s="196">
        <v>-58.387216236439684</v>
      </c>
      <c r="J25" s="197">
        <v>1502.23</v>
      </c>
      <c r="K25" s="197">
        <v>1002.49</v>
      </c>
      <c r="L25" s="198">
        <v>-33.266543738309046</v>
      </c>
      <c r="M25" s="194">
        <v>177</v>
      </c>
      <c r="N25" s="194">
        <v>116</v>
      </c>
      <c r="O25" s="196">
        <v>-34.463276836158194</v>
      </c>
    </row>
    <row r="26" spans="1:15" ht="18.75">
      <c r="A26" s="221" t="str">
        <f>INDEX(Lookup!$A$1:$A$126,MATCH(DataYY03!C26,Lookup!$C$1:$C$126,0))</f>
        <v>High School</v>
      </c>
      <c r="B26" s="222" t="s">
        <v>15</v>
      </c>
      <c r="C26" s="193" t="s">
        <v>46</v>
      </c>
      <c r="D26" s="193" t="s">
        <v>23</v>
      </c>
      <c r="E26" s="193">
        <f>485985+3072+18323</f>
        <v>507380</v>
      </c>
      <c r="F26" s="193"/>
      <c r="G26" s="194">
        <v>21060.576824000003</v>
      </c>
      <c r="H26" s="194">
        <v>23366.594083999997</v>
      </c>
      <c r="I26" s="196">
        <v>10.949449672110239</v>
      </c>
      <c r="J26" s="197">
        <v>434552.14</v>
      </c>
      <c r="K26" s="197">
        <v>416905.79</v>
      </c>
      <c r="L26" s="198">
        <v>-4.060813047658677</v>
      </c>
      <c r="M26" s="194">
        <v>22630</v>
      </c>
      <c r="N26" s="194">
        <v>22785</v>
      </c>
      <c r="O26" s="196">
        <v>0.684931506849315</v>
      </c>
    </row>
    <row r="27" spans="1:15" ht="18.75">
      <c r="A27" s="221" t="str">
        <f>INDEX(Lookup!$A$1:$A$126,MATCH(DataYY03!C27,Lookup!$C$1:$C$126,0))</f>
        <v>Administration</v>
      </c>
      <c r="B27" s="222" t="s">
        <v>15</v>
      </c>
      <c r="C27" s="193" t="s">
        <v>47</v>
      </c>
      <c r="D27" s="193" t="s">
        <v>23</v>
      </c>
      <c r="E27" s="194">
        <v>0</v>
      </c>
      <c r="F27" s="195">
        <v>36526</v>
      </c>
      <c r="G27" s="194">
        <v>115.953408</v>
      </c>
      <c r="H27" s="194">
        <v>145.43308800000003</v>
      </c>
      <c r="I27" s="196">
        <v>25.423728813559347</v>
      </c>
      <c r="J27" s="197">
        <v>13338.39</v>
      </c>
      <c r="K27" s="197">
        <v>17176.48</v>
      </c>
      <c r="L27" s="198">
        <v>28.77476217144648</v>
      </c>
      <c r="M27" s="194">
        <v>1363</v>
      </c>
      <c r="N27" s="194">
        <v>2304</v>
      </c>
      <c r="O27" s="196">
        <v>69.0388848129127</v>
      </c>
    </row>
    <row r="28" spans="1:15" ht="18.75">
      <c r="A28" s="221" t="str">
        <f>INDEX(Lookup!$A$1:$A$126,MATCH(DataYY03!C28,Lookup!$C$1:$C$126,0))</f>
        <v>High School</v>
      </c>
      <c r="B28" s="222" t="s">
        <v>15</v>
      </c>
      <c r="C28" s="193" t="s">
        <v>48</v>
      </c>
      <c r="D28" s="193" t="s">
        <v>17</v>
      </c>
      <c r="E28" s="194">
        <v>578719</v>
      </c>
      <c r="F28" s="195">
        <v>36526</v>
      </c>
      <c r="G28" s="194">
        <v>20998.495484</v>
      </c>
      <c r="H28" s="194">
        <v>15574.647215999998</v>
      </c>
      <c r="I28" s="196">
        <v>-25.829699428384057</v>
      </c>
      <c r="J28" s="197">
        <v>437731.79</v>
      </c>
      <c r="K28" s="197">
        <v>318614.37</v>
      </c>
      <c r="L28" s="198">
        <v>-27.212421560700445</v>
      </c>
      <c r="M28" s="194">
        <v>14154</v>
      </c>
      <c r="N28" s="194">
        <v>14920</v>
      </c>
      <c r="O28" s="196">
        <v>5.411897696764165</v>
      </c>
    </row>
    <row r="29" spans="1:15" ht="18.75">
      <c r="A29" s="221" t="str">
        <f>INDEX(Lookup!$A$1:$A$126,MATCH(DataYY03!C29,Lookup!$C$1:$C$126,0))</f>
        <v>High School</v>
      </c>
      <c r="B29" s="222" t="s">
        <v>15</v>
      </c>
      <c r="C29" s="193" t="s">
        <v>49</v>
      </c>
      <c r="D29" s="193" t="s">
        <v>21</v>
      </c>
      <c r="E29" s="194">
        <v>520212</v>
      </c>
      <c r="F29" s="195">
        <v>36526</v>
      </c>
      <c r="G29" s="194">
        <v>20068.07038</v>
      </c>
      <c r="H29" s="194">
        <v>20200.841536</v>
      </c>
      <c r="I29" s="196">
        <v>0.661603998221572</v>
      </c>
      <c r="J29" s="197">
        <v>423688.36</v>
      </c>
      <c r="K29" s="197">
        <v>386366.43</v>
      </c>
      <c r="L29" s="198">
        <v>-8.80881646123108</v>
      </c>
      <c r="M29" s="194">
        <v>20539</v>
      </c>
      <c r="N29" s="194">
        <v>21996</v>
      </c>
      <c r="O29" s="196">
        <v>7.093821510297483</v>
      </c>
    </row>
    <row r="30" spans="1:15" ht="18.75">
      <c r="A30" s="221" t="str">
        <f>INDEX(Lookup!$A$1:$A$126,MATCH(DataYY03!C30,Lookup!$C$1:$C$126,0))</f>
        <v>High School</v>
      </c>
      <c r="B30" s="222" t="s">
        <v>15</v>
      </c>
      <c r="C30" s="193" t="s">
        <v>50</v>
      </c>
      <c r="D30" s="193" t="s">
        <v>23</v>
      </c>
      <c r="E30" s="194">
        <v>590057</v>
      </c>
      <c r="F30" s="195">
        <v>36526</v>
      </c>
      <c r="G30" s="194">
        <v>18319.474972</v>
      </c>
      <c r="H30" s="194">
        <v>19319.10226</v>
      </c>
      <c r="I30" s="196">
        <v>5.4566372100066065</v>
      </c>
      <c r="J30" s="197">
        <v>405403.42</v>
      </c>
      <c r="K30" s="197">
        <v>418133.42</v>
      </c>
      <c r="L30" s="198">
        <v>3.140082044695134</v>
      </c>
      <c r="M30" s="194">
        <v>27495</v>
      </c>
      <c r="N30" s="194">
        <v>30334</v>
      </c>
      <c r="O30" s="196">
        <v>10.32551372976905</v>
      </c>
    </row>
    <row r="31" spans="1:15" ht="18.75">
      <c r="A31" s="221" t="str">
        <f>INDEX(Lookup!$A$1:$A$126,MATCH(DataYY03!C31,Lookup!$C$1:$C$126,0))</f>
        <v>High School</v>
      </c>
      <c r="B31" s="222" t="s">
        <v>15</v>
      </c>
      <c r="C31" s="193" t="s">
        <v>51</v>
      </c>
      <c r="D31" s="193" t="s">
        <v>23</v>
      </c>
      <c r="E31" s="194">
        <v>530203</v>
      </c>
      <c r="F31" s="195">
        <v>36526</v>
      </c>
      <c r="G31" s="194">
        <v>22312.040419999998</v>
      </c>
      <c r="H31" s="194">
        <v>22826.737208000002</v>
      </c>
      <c r="I31" s="196">
        <v>2.306811830345382</v>
      </c>
      <c r="J31" s="197">
        <v>600208.83</v>
      </c>
      <c r="K31" s="197">
        <v>526022.69</v>
      </c>
      <c r="L31" s="198">
        <v>-12.360054749611065</v>
      </c>
      <c r="M31" s="194">
        <v>39071</v>
      </c>
      <c r="N31" s="194">
        <v>39991</v>
      </c>
      <c r="O31" s="196">
        <v>2.3546876199738938</v>
      </c>
    </row>
    <row r="32" spans="1:15" ht="18.75">
      <c r="A32" s="221" t="str">
        <f>INDEX(Lookup!$A$1:$A$126,MATCH(DataYY03!C32,Lookup!$C$1:$C$126,0))</f>
        <v>High School</v>
      </c>
      <c r="B32" s="222" t="s">
        <v>15</v>
      </c>
      <c r="C32" s="193" t="s">
        <v>52</v>
      </c>
      <c r="D32" s="193" t="s">
        <v>17</v>
      </c>
      <c r="E32" s="194">
        <v>497661</v>
      </c>
      <c r="F32" s="195">
        <v>36526</v>
      </c>
      <c r="G32" s="194">
        <v>18846.772276000003</v>
      </c>
      <c r="H32" s="194">
        <v>17884.134479999997</v>
      </c>
      <c r="I32" s="196">
        <v>-5.1077064120197075</v>
      </c>
      <c r="J32" s="197">
        <v>413059.9</v>
      </c>
      <c r="K32" s="197">
        <v>346177.65</v>
      </c>
      <c r="L32" s="198">
        <v>-16.191900980947317</v>
      </c>
      <c r="M32" s="194">
        <v>19387</v>
      </c>
      <c r="N32" s="194">
        <v>19058</v>
      </c>
      <c r="O32" s="196">
        <v>-1.697013462629597</v>
      </c>
    </row>
    <row r="33" spans="1:15" ht="18.75">
      <c r="A33" s="221" t="str">
        <f>INDEX(Lookup!$A$1:$A$126,MATCH(DataYY03!C33,Lookup!$C$1:$C$126,0))</f>
        <v>High School</v>
      </c>
      <c r="B33" s="222" t="s">
        <v>15</v>
      </c>
      <c r="C33" s="193" t="s">
        <v>53</v>
      </c>
      <c r="D33" s="193" t="s">
        <v>23</v>
      </c>
      <c r="E33" s="194">
        <v>477795</v>
      </c>
      <c r="F33" s="195">
        <v>36526</v>
      </c>
      <c r="G33" s="194">
        <v>18913.927259999997</v>
      </c>
      <c r="H33" s="194">
        <v>18138.348952</v>
      </c>
      <c r="I33" s="196">
        <v>-4.100567255750348</v>
      </c>
      <c r="J33" s="197">
        <v>430266.15</v>
      </c>
      <c r="K33" s="197">
        <v>361916.91</v>
      </c>
      <c r="L33" s="198">
        <v>-15.885339806536024</v>
      </c>
      <c r="M33" s="194">
        <v>19841</v>
      </c>
      <c r="N33" s="194">
        <v>18739</v>
      </c>
      <c r="O33" s="196">
        <v>-5.554155536515297</v>
      </c>
    </row>
    <row r="34" spans="1:15" ht="18.75">
      <c r="A34" s="221" t="str">
        <f>INDEX(Lookup!$A$1:$A$126,MATCH(DataYY03!C34,Lookup!$C$1:$C$126,0))</f>
        <v>High School</v>
      </c>
      <c r="B34" s="222" t="s">
        <v>15</v>
      </c>
      <c r="C34" s="193" t="s">
        <v>54</v>
      </c>
      <c r="D34" s="193" t="s">
        <v>23</v>
      </c>
      <c r="E34" s="194">
        <v>535914</v>
      </c>
      <c r="F34" s="195">
        <v>36526</v>
      </c>
      <c r="G34" s="194">
        <v>12314.535807999999</v>
      </c>
      <c r="H34" s="194">
        <v>12107.420584</v>
      </c>
      <c r="I34" s="196">
        <v>-1.681876014079629</v>
      </c>
      <c r="J34" s="197">
        <v>264014.73</v>
      </c>
      <c r="K34" s="197">
        <v>227934.11</v>
      </c>
      <c r="L34" s="198">
        <v>-13.666139006713754</v>
      </c>
      <c r="M34" s="194">
        <v>12975</v>
      </c>
      <c r="N34" s="194">
        <v>12959</v>
      </c>
      <c r="O34" s="196">
        <v>-0.1233140655105973</v>
      </c>
    </row>
    <row r="35" spans="1:15" ht="18.75">
      <c r="A35" s="221" t="str">
        <f>INDEX(Lookup!$A$1:$A$126,MATCH(DataYY03!C35,Lookup!$C$1:$C$126,0))</f>
        <v>Elementary School</v>
      </c>
      <c r="B35" s="222" t="s">
        <v>15</v>
      </c>
      <c r="C35" s="193" t="s">
        <v>55</v>
      </c>
      <c r="D35" s="193" t="s">
        <v>17</v>
      </c>
      <c r="E35" s="194">
        <v>99588</v>
      </c>
      <c r="F35" s="195">
        <v>36526</v>
      </c>
      <c r="G35" s="194">
        <v>3537.6844320000005</v>
      </c>
      <c r="H35" s="194">
        <v>3787.6339040000003</v>
      </c>
      <c r="I35" s="196">
        <v>7.065341095409493</v>
      </c>
      <c r="J35" s="197">
        <v>82784.71</v>
      </c>
      <c r="K35" s="197">
        <v>83083.9</v>
      </c>
      <c r="L35" s="198">
        <v>0.36140731784891195</v>
      </c>
      <c r="M35" s="194">
        <v>4991</v>
      </c>
      <c r="N35" s="194">
        <v>4776</v>
      </c>
      <c r="O35" s="196">
        <v>-4.307753957122821</v>
      </c>
    </row>
    <row r="36" spans="1:15" ht="18.75">
      <c r="A36" s="221" t="str">
        <f>INDEX(Lookup!$A$1:$A$126,MATCH(DataYY03!C36,Lookup!$C$1:$C$126,0))</f>
        <v>Middle School</v>
      </c>
      <c r="B36" s="222" t="s">
        <v>15</v>
      </c>
      <c r="C36" s="193" t="s">
        <v>56</v>
      </c>
      <c r="D36" s="193" t="s">
        <v>17</v>
      </c>
      <c r="E36" s="194">
        <v>213572</v>
      </c>
      <c r="F36" s="195">
        <v>36526</v>
      </c>
      <c r="G36" s="194">
        <v>8146.153412000001</v>
      </c>
      <c r="H36" s="194">
        <v>7904.481452000002</v>
      </c>
      <c r="I36" s="196">
        <v>-2.966700328083617</v>
      </c>
      <c r="J36" s="197">
        <v>195203.12</v>
      </c>
      <c r="K36" s="197">
        <v>168256.08</v>
      </c>
      <c r="L36" s="198">
        <v>-13.804615418032254</v>
      </c>
      <c r="M36" s="194">
        <v>9942</v>
      </c>
      <c r="N36" s="194">
        <v>10109</v>
      </c>
      <c r="O36" s="196">
        <v>1.67974250653792</v>
      </c>
    </row>
    <row r="37" spans="1:15" s="12" customFormat="1" ht="18.75">
      <c r="A37" s="221" t="str">
        <f>INDEX(Lookup!$A$1:$A$126,MATCH(DataYY03!C37,Lookup!$C$1:$C$126,0))</f>
        <v>Elementary School</v>
      </c>
      <c r="B37" s="222" t="s">
        <v>15</v>
      </c>
      <c r="C37" s="193" t="s">
        <v>57</v>
      </c>
      <c r="D37" s="193" t="s">
        <v>21</v>
      </c>
      <c r="E37" s="194">
        <v>97959</v>
      </c>
      <c r="F37" s="195">
        <v>36526</v>
      </c>
      <c r="G37" s="194">
        <v>3134.017536</v>
      </c>
      <c r="H37" s="194">
        <v>2910.6270719999993</v>
      </c>
      <c r="I37" s="196">
        <v>-7.1279264214047</v>
      </c>
      <c r="J37" s="197">
        <v>80674.54</v>
      </c>
      <c r="K37" s="197">
        <v>69577.21</v>
      </c>
      <c r="L37" s="198">
        <v>-13.755678061504907</v>
      </c>
      <c r="M37" s="194">
        <v>5390</v>
      </c>
      <c r="N37" s="194">
        <v>5167</v>
      </c>
      <c r="O37" s="196">
        <v>-4.137291280148423</v>
      </c>
    </row>
    <row r="38" spans="1:15" s="12" customFormat="1" ht="18.75">
      <c r="A38" s="221" t="str">
        <f>INDEX(Lookup!$A$1:$A$126,MATCH(DataYY03!C38,Lookup!$C$1:$C$126,0))</f>
        <v>Administration</v>
      </c>
      <c r="B38" s="222" t="s">
        <v>15</v>
      </c>
      <c r="C38" s="193" t="s">
        <v>58</v>
      </c>
      <c r="D38" s="193" t="s">
        <v>17</v>
      </c>
      <c r="E38" s="194">
        <v>6832</v>
      </c>
      <c r="F38" s="195">
        <v>36526</v>
      </c>
      <c r="G38" s="194">
        <v>296.98048</v>
      </c>
      <c r="H38" s="194">
        <v>254.39872000000003</v>
      </c>
      <c r="I38" s="196">
        <v>-14.338235294117645</v>
      </c>
      <c r="J38" s="197">
        <v>7641.57</v>
      </c>
      <c r="K38" s="197">
        <v>6357.23</v>
      </c>
      <c r="L38" s="198">
        <v>-16.807279132429592</v>
      </c>
      <c r="M38" s="194">
        <v>443</v>
      </c>
      <c r="N38" s="194">
        <v>456</v>
      </c>
      <c r="O38" s="196">
        <v>2.9345372460496613</v>
      </c>
    </row>
    <row r="39" spans="1:15" s="12" customFormat="1" ht="18.75">
      <c r="A39" s="221" t="str">
        <f>INDEX(Lookup!$A$1:$A$126,MATCH(DataYY03!C39,Lookup!$C$1:$C$126,0))</f>
        <v>Administration</v>
      </c>
      <c r="B39" s="222" t="s">
        <v>15</v>
      </c>
      <c r="C39" s="193" t="s">
        <v>59</v>
      </c>
      <c r="D39" s="193" t="s">
        <v>17</v>
      </c>
      <c r="E39" s="194">
        <v>4573</v>
      </c>
      <c r="F39" s="195">
        <v>36526</v>
      </c>
      <c r="G39" s="194">
        <v>207.889748</v>
      </c>
      <c r="H39" s="194">
        <v>165.94603199999997</v>
      </c>
      <c r="I39" s="196">
        <v>-20.175942490439702</v>
      </c>
      <c r="J39" s="197">
        <v>6592.46</v>
      </c>
      <c r="K39" s="197">
        <v>4933.93</v>
      </c>
      <c r="L39" s="198">
        <v>-25.157983514499897</v>
      </c>
      <c r="M39" s="194">
        <v>418</v>
      </c>
      <c r="N39" s="194">
        <v>389</v>
      </c>
      <c r="O39" s="196">
        <v>-6.937799043062202</v>
      </c>
    </row>
    <row r="40" spans="1:15" s="12" customFormat="1" ht="18.75">
      <c r="A40" s="221" t="str">
        <f>INDEX(Lookup!$A$1:$A$126,MATCH(DataYY03!C40,Lookup!$C$1:$C$126,0))</f>
        <v>Administration</v>
      </c>
      <c r="B40" s="222" t="s">
        <v>15</v>
      </c>
      <c r="C40" s="193" t="s">
        <v>60</v>
      </c>
      <c r="D40" s="193" t="s">
        <v>17</v>
      </c>
      <c r="E40" s="194">
        <v>26451</v>
      </c>
      <c r="F40" s="195">
        <v>36526</v>
      </c>
      <c r="G40" s="194">
        <v>2446.81344</v>
      </c>
      <c r="H40" s="194">
        <v>2409.472512</v>
      </c>
      <c r="I40" s="196">
        <v>-1.5261044176706762</v>
      </c>
      <c r="J40" s="197">
        <v>49411.28</v>
      </c>
      <c r="K40" s="197">
        <v>43795.78</v>
      </c>
      <c r="L40" s="198">
        <v>-11.364813864364573</v>
      </c>
      <c r="M40" s="194">
        <v>2169</v>
      </c>
      <c r="N40" s="194">
        <v>2202</v>
      </c>
      <c r="O40" s="196">
        <v>1.5214384508990317</v>
      </c>
    </row>
    <row r="41" spans="1:15" s="12" customFormat="1" ht="18.75">
      <c r="A41" s="221" t="str">
        <f>INDEX(Lookup!$A$1:$A$126,MATCH(DataYY03!C41,Lookup!$C$1:$C$126,0))</f>
        <v>Elementary School</v>
      </c>
      <c r="B41" s="222" t="s">
        <v>15</v>
      </c>
      <c r="C41" s="193" t="s">
        <v>61</v>
      </c>
      <c r="D41" s="193" t="s">
        <v>21</v>
      </c>
      <c r="E41" s="194">
        <v>95366</v>
      </c>
      <c r="F41" s="195">
        <v>36526</v>
      </c>
      <c r="G41" s="194">
        <v>2805.48288</v>
      </c>
      <c r="H41" s="194">
        <v>2903.74848</v>
      </c>
      <c r="I41" s="196">
        <v>3.50262697022767</v>
      </c>
      <c r="J41" s="197">
        <v>74469.05</v>
      </c>
      <c r="K41" s="197">
        <v>69080.12</v>
      </c>
      <c r="L41" s="198">
        <v>-7.23646937888962</v>
      </c>
      <c r="M41" s="194">
        <v>5112</v>
      </c>
      <c r="N41" s="194">
        <v>5198</v>
      </c>
      <c r="O41" s="196">
        <v>1.6823161189358373</v>
      </c>
    </row>
    <row r="42" spans="1:15" s="12" customFormat="1" ht="18.75">
      <c r="A42" s="221" t="str">
        <f>INDEX(Lookup!$A$1:$A$126,MATCH(DataYY03!C42,Lookup!$C$1:$C$126,0))</f>
        <v>Elementary School</v>
      </c>
      <c r="B42" s="222" t="s">
        <v>15</v>
      </c>
      <c r="C42" s="193" t="s">
        <v>62</v>
      </c>
      <c r="D42" s="193" t="s">
        <v>17</v>
      </c>
      <c r="E42" s="194">
        <v>76544</v>
      </c>
      <c r="F42" s="195">
        <v>36526</v>
      </c>
      <c r="G42" s="194">
        <v>2898.8352</v>
      </c>
      <c r="H42" s="194">
        <v>2308.586496</v>
      </c>
      <c r="I42" s="196">
        <v>-20.36158192090396</v>
      </c>
      <c r="J42" s="197">
        <v>70502.7</v>
      </c>
      <c r="K42" s="197">
        <v>57041.2</v>
      </c>
      <c r="L42" s="198">
        <v>-19.093594997071033</v>
      </c>
      <c r="M42" s="194">
        <v>3927</v>
      </c>
      <c r="N42" s="194">
        <v>4313</v>
      </c>
      <c r="O42" s="196">
        <v>9.829386299974535</v>
      </c>
    </row>
    <row r="43" spans="1:15" s="12" customFormat="1" ht="18.75">
      <c r="A43" s="221" t="str">
        <f>INDEX(Lookup!$A$1:$A$126,MATCH(DataYY03!C43,Lookup!$C$1:$C$126,0))</f>
        <v>Administration</v>
      </c>
      <c r="B43" s="222" t="s">
        <v>15</v>
      </c>
      <c r="C43" s="193" t="s">
        <v>63</v>
      </c>
      <c r="D43" s="193" t="s">
        <v>23</v>
      </c>
      <c r="E43" s="194">
        <v>72198</v>
      </c>
      <c r="F43" s="195">
        <v>36526</v>
      </c>
      <c r="G43" s="194">
        <v>3372.1478399999996</v>
      </c>
      <c r="H43" s="194">
        <v>3174.5248000000006</v>
      </c>
      <c r="I43" s="196">
        <v>-5.8604500566617945</v>
      </c>
      <c r="J43" s="197">
        <v>69179.91</v>
      </c>
      <c r="K43" s="197">
        <v>59183.66</v>
      </c>
      <c r="L43" s="198">
        <v>-14.449642967156217</v>
      </c>
      <c r="M43" s="194">
        <v>3066</v>
      </c>
      <c r="N43" s="194">
        <v>3172</v>
      </c>
      <c r="O43" s="196">
        <v>3.457273320287019</v>
      </c>
    </row>
    <row r="44" spans="1:15" s="12" customFormat="1" ht="18.75">
      <c r="A44" s="221" t="str">
        <f>INDEX(Lookup!$A$1:$A$126,MATCH(DataYY03!C44,Lookup!$C$1:$C$126,0))</f>
        <v>Administration</v>
      </c>
      <c r="B44" s="222" t="s">
        <v>15</v>
      </c>
      <c r="C44" s="193" t="s">
        <v>64</v>
      </c>
      <c r="D44" s="193" t="s">
        <v>23</v>
      </c>
      <c r="E44" s="194">
        <v>33198</v>
      </c>
      <c r="F44" s="195">
        <v>36526</v>
      </c>
      <c r="G44" s="194">
        <v>1131.8934680000002</v>
      </c>
      <c r="H44" s="194">
        <v>1062.585512</v>
      </c>
      <c r="I44" s="196">
        <v>-6.1231872043986355</v>
      </c>
      <c r="J44" s="197">
        <v>21239.46</v>
      </c>
      <c r="K44" s="197">
        <v>18092.54</v>
      </c>
      <c r="L44" s="198">
        <v>-14.81638422069111</v>
      </c>
      <c r="M44" s="194">
        <v>753</v>
      </c>
      <c r="N44" s="194">
        <v>759</v>
      </c>
      <c r="O44" s="196">
        <v>0.796812749003984</v>
      </c>
    </row>
    <row r="45" spans="1:15" s="12" customFormat="1" ht="18.75">
      <c r="A45" s="221" t="str">
        <f>INDEX(Lookup!$A$1:$A$126,MATCH(DataYY03!C45,Lookup!$C$1:$C$126,0))</f>
        <v>Administration</v>
      </c>
      <c r="B45" s="222" t="s">
        <v>15</v>
      </c>
      <c r="C45" s="193" t="s">
        <v>65</v>
      </c>
      <c r="D45" s="193" t="s">
        <v>17</v>
      </c>
      <c r="E45" s="194">
        <v>6832</v>
      </c>
      <c r="F45" s="195">
        <v>36526</v>
      </c>
      <c r="G45" s="194">
        <v>2761.5909119999997</v>
      </c>
      <c r="H45" s="194">
        <v>2674.46208</v>
      </c>
      <c r="I45" s="196">
        <v>-3.155023128928947</v>
      </c>
      <c r="J45" s="197">
        <v>57345.61</v>
      </c>
      <c r="K45" s="197">
        <v>48599.33</v>
      </c>
      <c r="L45" s="198">
        <v>-15.251873683094486</v>
      </c>
      <c r="M45" s="194">
        <v>2533</v>
      </c>
      <c r="N45" s="194">
        <v>2402</v>
      </c>
      <c r="O45" s="196">
        <v>-5.1717331227793135</v>
      </c>
    </row>
    <row r="46" spans="1:15" s="12" customFormat="1" ht="18.75">
      <c r="A46" s="221" t="str">
        <f>INDEX(Lookup!$A$1:$A$126,MATCH(DataYY03!C46,Lookup!$C$1:$C$126,0))</f>
        <v>Elementary School</v>
      </c>
      <c r="B46" s="222" t="s">
        <v>15</v>
      </c>
      <c r="C46" s="193" t="s">
        <v>66</v>
      </c>
      <c r="D46" s="193" t="s">
        <v>23</v>
      </c>
      <c r="E46" s="194">
        <v>95036</v>
      </c>
      <c r="F46" s="195">
        <v>36526</v>
      </c>
      <c r="G46" s="194">
        <v>4086.2111999999997</v>
      </c>
      <c r="H46" s="194">
        <v>3657.1180800000006</v>
      </c>
      <c r="I46" s="196">
        <v>-10.501002004007995</v>
      </c>
      <c r="J46" s="197">
        <v>103518.45</v>
      </c>
      <c r="K46" s="197">
        <v>84291.17</v>
      </c>
      <c r="L46" s="198">
        <v>-18.573771149007737</v>
      </c>
      <c r="M46" s="194">
        <v>6704</v>
      </c>
      <c r="N46" s="194">
        <v>6279</v>
      </c>
      <c r="O46" s="196">
        <v>-6.3394988066825775</v>
      </c>
    </row>
    <row r="47" spans="1:15" s="12" customFormat="1" ht="18.75">
      <c r="A47" s="221" t="str">
        <f>INDEX(Lookup!$A$1:$A$126,MATCH(DataYY03!C47,Lookup!$C$1:$C$126,0))</f>
        <v>Elementary School</v>
      </c>
      <c r="B47" s="222" t="s">
        <v>15</v>
      </c>
      <c r="C47" s="193" t="s">
        <v>67</v>
      </c>
      <c r="D47" s="193" t="s">
        <v>17</v>
      </c>
      <c r="E47" s="194">
        <v>91621</v>
      </c>
      <c r="F47" s="195">
        <v>36526</v>
      </c>
      <c r="G47" s="194">
        <v>2977.44768</v>
      </c>
      <c r="H47" s="194">
        <v>2728.835712</v>
      </c>
      <c r="I47" s="196">
        <v>-8.349834983498361</v>
      </c>
      <c r="J47" s="197">
        <v>74091.35</v>
      </c>
      <c r="K47" s="197">
        <v>60086.95</v>
      </c>
      <c r="L47" s="198">
        <v>-18.901531690271536</v>
      </c>
      <c r="M47" s="194">
        <v>4520</v>
      </c>
      <c r="N47" s="194">
        <v>3855</v>
      </c>
      <c r="O47" s="196">
        <v>-14.712389380530974</v>
      </c>
    </row>
    <row r="48" spans="1:15" s="12" customFormat="1" ht="18.75">
      <c r="A48" s="221" t="str">
        <f>INDEX(Lookup!$A$1:$A$126,MATCH(DataYY03!C48,Lookup!$C$1:$C$126,0))</f>
        <v>Administration</v>
      </c>
      <c r="B48" s="222" t="s">
        <v>15</v>
      </c>
      <c r="C48" s="193" t="s">
        <v>68</v>
      </c>
      <c r="D48" s="193" t="s">
        <v>17</v>
      </c>
      <c r="E48" s="194">
        <v>57684</v>
      </c>
      <c r="F48" s="195">
        <v>36526</v>
      </c>
      <c r="G48" s="194">
        <v>14716.044712000003</v>
      </c>
      <c r="H48" s="194">
        <v>13226.832956</v>
      </c>
      <c r="I48" s="196">
        <v>-10.119646855826987</v>
      </c>
      <c r="J48" s="197">
        <v>301041.48</v>
      </c>
      <c r="K48" s="197">
        <v>243174.9</v>
      </c>
      <c r="L48" s="198">
        <v>-19.22212845884228</v>
      </c>
      <c r="M48" s="194">
        <v>8886</v>
      </c>
      <c r="N48" s="194">
        <v>8311</v>
      </c>
      <c r="O48" s="196">
        <v>-6.470853027233851</v>
      </c>
    </row>
    <row r="49" spans="1:15" s="12" customFormat="1" ht="18.75">
      <c r="A49" s="221" t="str">
        <f>INDEX(Lookup!$A$1:$A$126,MATCH(DataYY03!C49,Lookup!$C$1:$C$126,0))</f>
        <v>Administration</v>
      </c>
      <c r="B49" s="222" t="s">
        <v>15</v>
      </c>
      <c r="C49" s="193" t="s">
        <v>69</v>
      </c>
      <c r="D49" s="193" t="s">
        <v>17</v>
      </c>
      <c r="E49" s="194">
        <v>49742</v>
      </c>
      <c r="F49" s="195">
        <v>36526</v>
      </c>
      <c r="G49" s="194">
        <v>2393.750016</v>
      </c>
      <c r="H49" s="194">
        <v>2563.749504</v>
      </c>
      <c r="I49" s="196">
        <v>7.10180623973728</v>
      </c>
      <c r="J49" s="197">
        <v>46059.86</v>
      </c>
      <c r="K49" s="197">
        <v>46707.84</v>
      </c>
      <c r="L49" s="198">
        <v>1.406821471016195</v>
      </c>
      <c r="M49" s="194">
        <v>2235</v>
      </c>
      <c r="N49" s="194">
        <v>2255</v>
      </c>
      <c r="O49" s="196">
        <v>0.8948545861297539</v>
      </c>
    </row>
    <row r="50" spans="1:15" s="12" customFormat="1" ht="18.75">
      <c r="A50" s="221" t="str">
        <f>INDEX(Lookup!$A$1:$A$126,MATCH(DataYY03!C50,Lookup!$C$1:$C$126,0))</f>
        <v>Elementary School</v>
      </c>
      <c r="B50" s="222" t="s">
        <v>15</v>
      </c>
      <c r="C50" s="193" t="s">
        <v>70</v>
      </c>
      <c r="D50" s="193" t="s">
        <v>17</v>
      </c>
      <c r="E50" s="194">
        <v>90518</v>
      </c>
      <c r="F50" s="195">
        <v>36526</v>
      </c>
      <c r="G50" s="194">
        <v>3367.23456</v>
      </c>
      <c r="H50" s="194">
        <v>3164.0158399999996</v>
      </c>
      <c r="I50" s="196">
        <v>-6.035181582360581</v>
      </c>
      <c r="J50" s="197">
        <v>85964.61</v>
      </c>
      <c r="K50" s="197">
        <v>72669.31</v>
      </c>
      <c r="L50" s="198">
        <v>-15.466015608050803</v>
      </c>
      <c r="M50" s="194">
        <v>5445</v>
      </c>
      <c r="N50" s="194">
        <v>5170</v>
      </c>
      <c r="O50" s="196">
        <v>-5.05050505050505</v>
      </c>
    </row>
    <row r="51" spans="1:15" s="12" customFormat="1" ht="18.75">
      <c r="A51" s="221" t="str">
        <f>INDEX(Lookup!$A$1:$A$126,MATCH(DataYY03!C51,Lookup!$C$1:$C$126,0))</f>
        <v>Elementary School</v>
      </c>
      <c r="B51" s="222" t="s">
        <v>15</v>
      </c>
      <c r="C51" s="193" t="s">
        <v>71</v>
      </c>
      <c r="D51" s="193" t="s">
        <v>17</v>
      </c>
      <c r="E51" s="194">
        <v>85844</v>
      </c>
      <c r="F51" s="195">
        <v>36526</v>
      </c>
      <c r="G51" s="194">
        <v>3756.359512</v>
      </c>
      <c r="H51" s="194">
        <v>3538.714856</v>
      </c>
      <c r="I51" s="196">
        <v>-5.794031569787615</v>
      </c>
      <c r="J51" s="197">
        <v>92465.46</v>
      </c>
      <c r="K51" s="197">
        <v>79938.49</v>
      </c>
      <c r="L51" s="198">
        <v>-13.547729065534309</v>
      </c>
      <c r="M51" s="194">
        <v>5681</v>
      </c>
      <c r="N51" s="194">
        <v>5273</v>
      </c>
      <c r="O51" s="196">
        <v>-7.181834184122514</v>
      </c>
    </row>
    <row r="52" spans="1:15" s="12" customFormat="1" ht="18.75">
      <c r="A52" s="221" t="str">
        <f>INDEX(Lookup!$A$1:$A$126,MATCH(DataYY03!C52,Lookup!$C$1:$C$126,0))</f>
        <v>Elementary School</v>
      </c>
      <c r="B52" s="222" t="s">
        <v>15</v>
      </c>
      <c r="C52" s="193" t="s">
        <v>72</v>
      </c>
      <c r="D52" s="193" t="s">
        <v>17</v>
      </c>
      <c r="E52" s="194">
        <v>91424</v>
      </c>
      <c r="F52" s="195">
        <v>36526</v>
      </c>
      <c r="G52" s="194">
        <v>3890.3351040000002</v>
      </c>
      <c r="H52" s="194">
        <v>3704.61312</v>
      </c>
      <c r="I52" s="196">
        <v>-4.773932811316001</v>
      </c>
      <c r="J52" s="197">
        <v>90532.15</v>
      </c>
      <c r="K52" s="197">
        <v>78116.04</v>
      </c>
      <c r="L52" s="198">
        <v>-13.714586475633242</v>
      </c>
      <c r="M52" s="194">
        <v>5215</v>
      </c>
      <c r="N52" s="194">
        <v>5092</v>
      </c>
      <c r="O52" s="196">
        <v>-2.358581016299137</v>
      </c>
    </row>
    <row r="53" spans="1:15" s="12" customFormat="1" ht="18.75">
      <c r="A53" s="221" t="str">
        <f>INDEX(Lookup!$A$1:$A$126,MATCH(DataYY03!C53,Lookup!$C$1:$C$126,0))</f>
        <v>Middle School</v>
      </c>
      <c r="B53" s="222" t="s">
        <v>15</v>
      </c>
      <c r="C53" s="193" t="s">
        <v>73</v>
      </c>
      <c r="D53" s="193" t="s">
        <v>23</v>
      </c>
      <c r="E53" s="194">
        <v>218801</v>
      </c>
      <c r="F53" s="195">
        <v>36526</v>
      </c>
      <c r="G53" s="194">
        <v>6501.402224000001</v>
      </c>
      <c r="H53" s="194">
        <v>6697.885655999999</v>
      </c>
      <c r="I53" s="196">
        <v>3.0221700677844057</v>
      </c>
      <c r="J53" s="197">
        <v>158947.34</v>
      </c>
      <c r="K53" s="197">
        <v>138128.37</v>
      </c>
      <c r="L53" s="198">
        <v>-13.098029825475532</v>
      </c>
      <c r="M53" s="194">
        <v>9247</v>
      </c>
      <c r="N53" s="194">
        <v>9034</v>
      </c>
      <c r="O53" s="196">
        <v>-2.3034497674921597</v>
      </c>
    </row>
    <row r="54" spans="1:15" s="12" customFormat="1" ht="18.75">
      <c r="A54" s="221" t="str">
        <f>INDEX(Lookup!$A$1:$A$126,MATCH(DataYY03!C54,Lookup!$C$1:$C$126,0))</f>
        <v>Elementary School</v>
      </c>
      <c r="B54" s="222" t="s">
        <v>15</v>
      </c>
      <c r="C54" s="193" t="s">
        <v>74</v>
      </c>
      <c r="D54" s="193" t="s">
        <v>17</v>
      </c>
      <c r="E54" s="194">
        <v>85052</v>
      </c>
      <c r="F54" s="195">
        <v>36526</v>
      </c>
      <c r="G54" s="194">
        <v>3399.95564</v>
      </c>
      <c r="H54" s="194">
        <v>3156.2910719999995</v>
      </c>
      <c r="I54" s="196">
        <v>-7.166698445512672</v>
      </c>
      <c r="J54" s="197">
        <v>82736.88</v>
      </c>
      <c r="K54" s="197">
        <v>70345.92</v>
      </c>
      <c r="L54" s="198">
        <v>-14.976344285643838</v>
      </c>
      <c r="M54" s="194">
        <v>5084</v>
      </c>
      <c r="N54" s="194">
        <v>4910</v>
      </c>
      <c r="O54" s="196">
        <v>-3.4225019669551533</v>
      </c>
    </row>
    <row r="55" spans="1:15" s="12" customFormat="1" ht="18.75">
      <c r="A55" s="221" t="str">
        <f>INDEX(Lookup!$A$1:$A$126,MATCH(DataYY03!C55,Lookup!$C$1:$C$126,0))</f>
        <v>Elementary School</v>
      </c>
      <c r="B55" s="222" t="s">
        <v>15</v>
      </c>
      <c r="C55" s="193" t="s">
        <v>75</v>
      </c>
      <c r="D55" s="193" t="s">
        <v>23</v>
      </c>
      <c r="E55" s="194">
        <v>85650</v>
      </c>
      <c r="F55" s="195">
        <v>36526</v>
      </c>
      <c r="G55" s="194">
        <v>2678.720256</v>
      </c>
      <c r="H55" s="194">
        <v>2306.293632</v>
      </c>
      <c r="I55" s="196">
        <v>-13.903154805575937</v>
      </c>
      <c r="J55" s="197">
        <v>67768.11</v>
      </c>
      <c r="K55" s="197">
        <v>54417.7</v>
      </c>
      <c r="L55" s="198">
        <v>-19.700136244023923</v>
      </c>
      <c r="M55" s="194">
        <v>4065</v>
      </c>
      <c r="N55" s="194">
        <v>3842</v>
      </c>
      <c r="O55" s="196">
        <v>-5.485854858548586</v>
      </c>
    </row>
    <row r="56" spans="1:15" s="12" customFormat="1" ht="18.75">
      <c r="A56" s="221" t="str">
        <f>INDEX(Lookup!$A$1:$A$126,MATCH(DataYY03!C56,Lookup!$C$1:$C$126,0))</f>
        <v>Middle School</v>
      </c>
      <c r="B56" s="222" t="s">
        <v>15</v>
      </c>
      <c r="C56" s="193" t="s">
        <v>76</v>
      </c>
      <c r="D56" s="193" t="s">
        <v>23</v>
      </c>
      <c r="E56" s="194">
        <v>192751</v>
      </c>
      <c r="F56" s="195">
        <v>36526</v>
      </c>
      <c r="G56" s="194">
        <v>7537.817696</v>
      </c>
      <c r="H56" s="194">
        <v>8676.541988</v>
      </c>
      <c r="I56" s="196">
        <v>15.106816560504944</v>
      </c>
      <c r="J56" s="197">
        <v>180264.59</v>
      </c>
      <c r="K56" s="197">
        <v>165118.34</v>
      </c>
      <c r="L56" s="198">
        <v>-8.402232518322094</v>
      </c>
      <c r="M56" s="194">
        <v>8956</v>
      </c>
      <c r="N56" s="194">
        <v>8717</v>
      </c>
      <c r="O56" s="196">
        <v>-2.668602054488611</v>
      </c>
    </row>
    <row r="57" spans="1:15" s="12" customFormat="1" ht="18.75">
      <c r="A57" s="221" t="str">
        <f>INDEX(Lookup!$A$1:$A$126,MATCH(DataYY03!C57,Lookup!$C$1:$C$126,0))</f>
        <v>Elementary School</v>
      </c>
      <c r="B57" s="222" t="s">
        <v>15</v>
      </c>
      <c r="C57" s="193" t="s">
        <v>77</v>
      </c>
      <c r="D57" s="193" t="s">
        <v>17</v>
      </c>
      <c r="E57" s="194">
        <v>88795</v>
      </c>
      <c r="F57" s="195">
        <v>36526</v>
      </c>
      <c r="G57" s="194">
        <v>3674.1507840000004</v>
      </c>
      <c r="H57" s="194">
        <v>3303.6894720000005</v>
      </c>
      <c r="I57" s="196">
        <v>-10.082909868948917</v>
      </c>
      <c r="J57" s="197">
        <v>92330.35</v>
      </c>
      <c r="K57" s="197">
        <v>77133.4</v>
      </c>
      <c r="L57" s="198">
        <v>-16.459322422150464</v>
      </c>
      <c r="M57" s="194">
        <v>5743</v>
      </c>
      <c r="N57" s="194">
        <v>5527</v>
      </c>
      <c r="O57" s="196">
        <v>-3.761100470137559</v>
      </c>
    </row>
    <row r="58" spans="1:15" s="12" customFormat="1" ht="18.75">
      <c r="A58" s="221" t="str">
        <f>INDEX(Lookup!$A$1:$A$126,MATCH(DataYY03!C58,Lookup!$C$1:$C$126,0))</f>
        <v>Elementary School</v>
      </c>
      <c r="B58" s="222" t="s">
        <v>15</v>
      </c>
      <c r="C58" s="193" t="s">
        <v>78</v>
      </c>
      <c r="D58" s="193" t="s">
        <v>21</v>
      </c>
      <c r="E58" s="194">
        <v>96483</v>
      </c>
      <c r="F58" s="195">
        <v>36526</v>
      </c>
      <c r="G58" s="194">
        <v>2779.606272</v>
      </c>
      <c r="H58" s="194">
        <v>2868.700416</v>
      </c>
      <c r="I58" s="196">
        <v>3.2052792835258104</v>
      </c>
      <c r="J58" s="197">
        <v>77491.31</v>
      </c>
      <c r="K58" s="197">
        <v>73350.21</v>
      </c>
      <c r="L58" s="198">
        <v>-5.343954051105859</v>
      </c>
      <c r="M58" s="194">
        <v>5552</v>
      </c>
      <c r="N58" s="194">
        <v>5804</v>
      </c>
      <c r="O58" s="196">
        <v>4.538904899135447</v>
      </c>
    </row>
    <row r="59" spans="1:15" s="12" customFormat="1" ht="18.75">
      <c r="A59" s="221" t="str">
        <f>INDEX(Lookup!$A$1:$A$126,MATCH(DataYY03!C59,Lookup!$C$1:$C$126,0))</f>
        <v>Elementary School</v>
      </c>
      <c r="B59" s="222" t="s">
        <v>15</v>
      </c>
      <c r="C59" s="193" t="s">
        <v>79</v>
      </c>
      <c r="D59" s="193" t="s">
        <v>17</v>
      </c>
      <c r="E59" s="194">
        <v>99937</v>
      </c>
      <c r="F59" s="195">
        <v>36526</v>
      </c>
      <c r="G59" s="194">
        <v>3552.6289920000004</v>
      </c>
      <c r="H59" s="194">
        <v>3578.833152</v>
      </c>
      <c r="I59" s="196">
        <v>0.7375991148810531</v>
      </c>
      <c r="J59" s="197">
        <v>96312.58</v>
      </c>
      <c r="K59" s="197">
        <v>84514.37</v>
      </c>
      <c r="L59" s="198">
        <v>-12.249915846922592</v>
      </c>
      <c r="M59" s="194">
        <v>6213</v>
      </c>
      <c r="N59" s="194">
        <v>5903</v>
      </c>
      <c r="O59" s="196">
        <v>-4.989538065346853</v>
      </c>
    </row>
    <row r="60" spans="1:15" s="12" customFormat="1" ht="18.75">
      <c r="A60" s="221" t="str">
        <f>INDEX(Lookup!$A$1:$A$126,MATCH(DataYY03!C60,Lookup!$C$1:$C$126,0))</f>
        <v>Elementary School</v>
      </c>
      <c r="B60" s="222" t="s">
        <v>15</v>
      </c>
      <c r="C60" s="193" t="s">
        <v>80</v>
      </c>
      <c r="D60" s="193" t="s">
        <v>17</v>
      </c>
      <c r="E60" s="194">
        <v>81704</v>
      </c>
      <c r="F60" s="195">
        <v>36526</v>
      </c>
      <c r="G60" s="194">
        <v>2297.449728</v>
      </c>
      <c r="H60" s="194">
        <v>2199.184128</v>
      </c>
      <c r="I60" s="196">
        <v>-4.277159965782732</v>
      </c>
      <c r="J60" s="197">
        <v>61183.58</v>
      </c>
      <c r="K60" s="197">
        <v>52042.35</v>
      </c>
      <c r="L60" s="198">
        <v>-14.94065891534951</v>
      </c>
      <c r="M60" s="194">
        <v>3863</v>
      </c>
      <c r="N60" s="194">
        <v>3537</v>
      </c>
      <c r="O60" s="196">
        <v>-8.439037017861764</v>
      </c>
    </row>
    <row r="61" spans="1:15" s="12" customFormat="1" ht="18.75">
      <c r="A61" s="221" t="str">
        <f>INDEX(Lookup!$A$1:$A$126,MATCH(DataYY03!C61,Lookup!$C$1:$C$126,0))</f>
        <v>Elementary School</v>
      </c>
      <c r="B61" s="222" t="s">
        <v>15</v>
      </c>
      <c r="C61" s="193" t="s">
        <v>81</v>
      </c>
      <c r="D61" s="193" t="s">
        <v>21</v>
      </c>
      <c r="E61" s="194">
        <v>112519</v>
      </c>
      <c r="F61" s="195">
        <v>36526</v>
      </c>
      <c r="G61" s="194">
        <v>2817.76608</v>
      </c>
      <c r="H61" s="194">
        <v>2694.9340799999995</v>
      </c>
      <c r="I61" s="196">
        <v>-4.359197907585029</v>
      </c>
      <c r="J61" s="197">
        <v>74353.05</v>
      </c>
      <c r="K61" s="197">
        <v>65620.17</v>
      </c>
      <c r="L61" s="198">
        <v>-11.745153695779798</v>
      </c>
      <c r="M61" s="194">
        <v>4895</v>
      </c>
      <c r="N61" s="194">
        <v>4905</v>
      </c>
      <c r="O61" s="196">
        <v>0.20429009193054137</v>
      </c>
    </row>
    <row r="62" spans="1:15" s="12" customFormat="1" ht="18.75">
      <c r="A62" s="221" t="str">
        <f>INDEX(Lookup!$A$1:$A$126,MATCH(DataYY03!C62,Lookup!$C$1:$C$126,0))</f>
        <v>Middle School</v>
      </c>
      <c r="B62" s="222" t="s">
        <v>15</v>
      </c>
      <c r="C62" s="193" t="s">
        <v>82</v>
      </c>
      <c r="D62" s="193" t="s">
        <v>23</v>
      </c>
      <c r="E62" s="194">
        <v>226178</v>
      </c>
      <c r="F62" s="195">
        <v>36526</v>
      </c>
      <c r="G62" s="194">
        <v>7334.8651119999995</v>
      </c>
      <c r="H62" s="194">
        <v>7629.644852</v>
      </c>
      <c r="I62" s="196">
        <v>4.0188842671112575</v>
      </c>
      <c r="J62" s="197">
        <v>180638.21</v>
      </c>
      <c r="K62" s="197">
        <v>169315.67</v>
      </c>
      <c r="L62" s="198">
        <v>-6.268075840654089</v>
      </c>
      <c r="M62" s="194">
        <v>10427</v>
      </c>
      <c r="N62" s="194">
        <v>9878</v>
      </c>
      <c r="O62" s="196">
        <v>-5.265176944471085</v>
      </c>
    </row>
    <row r="63" spans="1:15" s="12" customFormat="1" ht="18.75">
      <c r="A63" s="221" t="str">
        <f>INDEX(Lookup!$A$1:$A$126,MATCH(DataYY03!C63,Lookup!$C$1:$C$126,0))</f>
        <v>Elementary School</v>
      </c>
      <c r="B63" s="222" t="s">
        <v>15</v>
      </c>
      <c r="C63" s="193" t="s">
        <v>83</v>
      </c>
      <c r="D63" s="193" t="s">
        <v>17</v>
      </c>
      <c r="E63" s="194">
        <v>87881</v>
      </c>
      <c r="F63" s="195">
        <v>36526</v>
      </c>
      <c r="G63" s="194">
        <v>3294.5180160000004</v>
      </c>
      <c r="H63" s="194">
        <v>3235.558656</v>
      </c>
      <c r="I63" s="196">
        <v>-1.7896202028236365</v>
      </c>
      <c r="J63" s="197">
        <v>79958.3</v>
      </c>
      <c r="K63" s="197">
        <v>71593.55</v>
      </c>
      <c r="L63" s="198">
        <v>-10.46139049979802</v>
      </c>
      <c r="M63" s="194">
        <v>4958</v>
      </c>
      <c r="N63" s="194">
        <v>5001</v>
      </c>
      <c r="O63" s="196">
        <v>0.8672851956434046</v>
      </c>
    </row>
    <row r="64" spans="1:15" s="12" customFormat="1" ht="18.75">
      <c r="A64" s="221" t="str">
        <f>INDEX(Lookup!$A$1:$A$126,MATCH(DataYY03!C64,Lookup!$C$1:$C$126,0))</f>
        <v>Administration</v>
      </c>
      <c r="B64" s="222" t="s">
        <v>15</v>
      </c>
      <c r="C64" s="193" t="s">
        <v>84</v>
      </c>
      <c r="D64" s="193" t="s">
        <v>17</v>
      </c>
      <c r="E64" s="194">
        <v>132467</v>
      </c>
      <c r="F64" s="195">
        <v>36526</v>
      </c>
      <c r="G64" s="194">
        <v>2093.8147440000002</v>
      </c>
      <c r="H64" s="194">
        <v>2130.52104</v>
      </c>
      <c r="I64" s="196">
        <v>1.7530823156721385</v>
      </c>
      <c r="J64" s="197">
        <v>49138.06</v>
      </c>
      <c r="K64" s="197">
        <v>44771.25</v>
      </c>
      <c r="L64" s="198">
        <v>-8.886818079509041</v>
      </c>
      <c r="M64" s="194">
        <v>2850</v>
      </c>
      <c r="N64" s="194">
        <v>2831</v>
      </c>
      <c r="O64" s="196">
        <v>-0.6666666666666667</v>
      </c>
    </row>
    <row r="65" spans="1:15" s="12" customFormat="1" ht="18.75">
      <c r="A65" s="221" t="str">
        <f>INDEX(Lookup!$A$1:$A$126,MATCH(DataYY03!C65,Lookup!$C$1:$C$126,0))</f>
        <v>Administration</v>
      </c>
      <c r="B65" s="222" t="s">
        <v>15</v>
      </c>
      <c r="C65" s="193" t="s">
        <v>85</v>
      </c>
      <c r="D65" s="193" t="s">
        <v>17</v>
      </c>
      <c r="E65" s="194">
        <v>0</v>
      </c>
      <c r="F65" s="195">
        <v>36526</v>
      </c>
      <c r="G65" s="194">
        <v>2150.9247999999993</v>
      </c>
      <c r="H65" s="194">
        <v>2025.9091199999998</v>
      </c>
      <c r="I65" s="196">
        <v>-5.812182741116739</v>
      </c>
      <c r="J65" s="197">
        <v>46705.31</v>
      </c>
      <c r="K65" s="197">
        <v>40349.96</v>
      </c>
      <c r="L65" s="198">
        <v>-13.60733929396893</v>
      </c>
      <c r="M65" s="194">
        <v>2289</v>
      </c>
      <c r="N65" s="194">
        <v>2302</v>
      </c>
      <c r="O65" s="196">
        <v>0.5679335954565312</v>
      </c>
    </row>
    <row r="66" spans="1:15" s="12" customFormat="1" ht="18.75">
      <c r="A66" s="221" t="str">
        <f>INDEX(Lookup!$A$1:$A$126,MATCH(DataYY03!C66,Lookup!$C$1:$C$126,0))</f>
        <v>Administration</v>
      </c>
      <c r="B66" s="222" t="s">
        <v>15</v>
      </c>
      <c r="C66" s="193" t="s">
        <v>86</v>
      </c>
      <c r="D66" s="193" t="s">
        <v>17</v>
      </c>
      <c r="E66" s="194">
        <v>0</v>
      </c>
      <c r="F66" s="195">
        <v>36526</v>
      </c>
      <c r="G66" s="194">
        <v>3361.2294399999996</v>
      </c>
      <c r="H66" s="194">
        <v>3389.07136</v>
      </c>
      <c r="I66" s="196">
        <v>0.8283254831898769</v>
      </c>
      <c r="J66" s="197">
        <v>71002.06</v>
      </c>
      <c r="K66" s="197">
        <v>63560.06</v>
      </c>
      <c r="L66" s="198">
        <v>-10.481386033024958</v>
      </c>
      <c r="M66" s="194">
        <v>3397</v>
      </c>
      <c r="N66" s="194">
        <v>3368</v>
      </c>
      <c r="O66" s="196">
        <v>-0.8536944362672947</v>
      </c>
    </row>
    <row r="67" spans="1:15" s="12" customFormat="1" ht="18.75">
      <c r="A67" s="221" t="str">
        <f>INDEX(Lookup!$A$1:$A$126,MATCH(DataYY03!C67,Lookup!$C$1:$C$126,0))</f>
        <v>Administration</v>
      </c>
      <c r="B67" s="222" t="s">
        <v>15</v>
      </c>
      <c r="C67" s="193" t="s">
        <v>87</v>
      </c>
      <c r="D67" s="193" t="s">
        <v>17</v>
      </c>
      <c r="E67" s="194">
        <v>0</v>
      </c>
      <c r="F67" s="195">
        <v>36526</v>
      </c>
      <c r="G67" s="194">
        <v>24.97584</v>
      </c>
      <c r="H67" s="194">
        <v>24.97584</v>
      </c>
      <c r="I67" s="196">
        <v>0</v>
      </c>
      <c r="J67" s="197">
        <v>1322.23</v>
      </c>
      <c r="K67" s="197">
        <v>1130.37</v>
      </c>
      <c r="L67" s="198">
        <v>-14.510334813156563</v>
      </c>
      <c r="M67" s="194">
        <v>0</v>
      </c>
      <c r="N67" s="194">
        <v>0</v>
      </c>
      <c r="O67" s="196">
        <v>0</v>
      </c>
    </row>
    <row r="68" spans="1:15" s="12" customFormat="1" ht="18.75">
      <c r="A68" s="221" t="str">
        <f>INDEX(Lookup!$A$1:$A$126,MATCH(DataYY03!C68,Lookup!$C$1:$C$126,0))</f>
        <v>Administration</v>
      </c>
      <c r="B68" s="222" t="s">
        <v>15</v>
      </c>
      <c r="C68" s="193" t="s">
        <v>88</v>
      </c>
      <c r="D68" s="193" t="s">
        <v>17</v>
      </c>
      <c r="E68" s="194">
        <v>0</v>
      </c>
      <c r="F68" s="195">
        <v>36526</v>
      </c>
      <c r="G68" s="194">
        <v>86.93776</v>
      </c>
      <c r="H68" s="194">
        <v>93.76176</v>
      </c>
      <c r="I68" s="196">
        <v>7.849293563579273</v>
      </c>
      <c r="J68" s="197">
        <v>2920.38</v>
      </c>
      <c r="K68" s="197">
        <v>2824.22</v>
      </c>
      <c r="L68" s="198">
        <v>-3.2927221799902755</v>
      </c>
      <c r="M68" s="194">
        <v>219</v>
      </c>
      <c r="N68" s="194">
        <v>224</v>
      </c>
      <c r="O68" s="196">
        <v>2.2831050228310503</v>
      </c>
    </row>
    <row r="69" spans="1:15" s="12" customFormat="1" ht="18.75">
      <c r="A69" s="221" t="str">
        <f>INDEX(Lookup!$A$1:$A$126,MATCH(DataYY03!C69,Lookup!$C$1:$C$126,0))</f>
        <v>Administration</v>
      </c>
      <c r="B69" s="222" t="s">
        <v>15</v>
      </c>
      <c r="C69" s="193" t="s">
        <v>89</v>
      </c>
      <c r="D69" s="193" t="s">
        <v>17</v>
      </c>
      <c r="E69" s="194">
        <v>0</v>
      </c>
      <c r="F69" s="195">
        <v>36526</v>
      </c>
      <c r="G69" s="194">
        <v>702.2953719999999</v>
      </c>
      <c r="H69" s="194">
        <v>757.893912</v>
      </c>
      <c r="I69" s="196">
        <v>7.916688934125581</v>
      </c>
      <c r="J69" s="197">
        <v>13117.82</v>
      </c>
      <c r="K69" s="197">
        <v>12612.88</v>
      </c>
      <c r="L69" s="198">
        <v>-3.8492676374580532</v>
      </c>
      <c r="M69" s="194">
        <v>386</v>
      </c>
      <c r="N69" s="194">
        <v>410</v>
      </c>
      <c r="O69" s="196">
        <v>6.217616580310882</v>
      </c>
    </row>
    <row r="70" spans="1:15" s="12" customFormat="1" ht="18.75">
      <c r="A70" s="221" t="str">
        <f>INDEX(Lookup!$A$1:$A$126,MATCH(DataYY03!C70,Lookup!$C$1:$C$126,0))</f>
        <v>Administration</v>
      </c>
      <c r="B70" s="222" t="s">
        <v>15</v>
      </c>
      <c r="C70" s="193" t="s">
        <v>90</v>
      </c>
      <c r="D70" s="193" t="s">
        <v>17</v>
      </c>
      <c r="E70" s="194">
        <v>0</v>
      </c>
      <c r="F70" s="195">
        <v>36526</v>
      </c>
      <c r="G70" s="194">
        <v>183.51442</v>
      </c>
      <c r="H70" s="194">
        <v>274.76153600000004</v>
      </c>
      <c r="I70" s="196">
        <v>49.72204146137401</v>
      </c>
      <c r="J70" s="197">
        <v>4556.06</v>
      </c>
      <c r="K70" s="197">
        <v>5509.41</v>
      </c>
      <c r="L70" s="198">
        <v>20.924878074476634</v>
      </c>
      <c r="M70" s="194">
        <v>253</v>
      </c>
      <c r="N70" s="194">
        <v>301</v>
      </c>
      <c r="O70" s="196">
        <v>18.972332015810277</v>
      </c>
    </row>
    <row r="71" spans="1:15" s="12" customFormat="1" ht="18.75">
      <c r="A71" s="221" t="str">
        <f>INDEX(Lookup!$A$1:$A$126,MATCH(DataYY03!C71,Lookup!$C$1:$C$126,0))</f>
        <v>Administration</v>
      </c>
      <c r="B71" s="222" t="s">
        <v>15</v>
      </c>
      <c r="C71" s="193" t="s">
        <v>91</v>
      </c>
      <c r="D71" s="193" t="s">
        <v>17</v>
      </c>
      <c r="E71" s="194">
        <v>35364</v>
      </c>
      <c r="F71" s="195">
        <v>36526</v>
      </c>
      <c r="G71" s="194">
        <v>2034.753024</v>
      </c>
      <c r="H71" s="194">
        <v>1984.310016</v>
      </c>
      <c r="I71" s="196">
        <v>-2.4790727623953766</v>
      </c>
      <c r="J71" s="197">
        <v>49732.94</v>
      </c>
      <c r="K71" s="197">
        <v>42989.23</v>
      </c>
      <c r="L71" s="198">
        <v>-13.559845848646791</v>
      </c>
      <c r="M71" s="194">
        <v>3109</v>
      </c>
      <c r="N71" s="194">
        <v>2875</v>
      </c>
      <c r="O71" s="196">
        <v>-7.526535863621743</v>
      </c>
    </row>
    <row r="72" spans="1:15" s="12" customFormat="1" ht="18.75">
      <c r="A72" s="221" t="str">
        <f>INDEX(Lookup!$A$1:$A$126,MATCH(DataYY03!C72,Lookup!$C$1:$C$126,0))</f>
        <v>Administration</v>
      </c>
      <c r="B72" s="222" t="s">
        <v>15</v>
      </c>
      <c r="C72" s="193" t="s">
        <v>92</v>
      </c>
      <c r="D72" s="193" t="s">
        <v>23</v>
      </c>
      <c r="E72" s="194">
        <v>12152</v>
      </c>
      <c r="F72" s="195">
        <v>36526</v>
      </c>
      <c r="G72" s="194">
        <v>10104.75742</v>
      </c>
      <c r="H72" s="194">
        <v>9624.559364</v>
      </c>
      <c r="I72" s="196">
        <v>-4.75219776230907</v>
      </c>
      <c r="J72" s="197">
        <v>301710.72</v>
      </c>
      <c r="K72" s="197">
        <v>245349.63</v>
      </c>
      <c r="L72" s="198">
        <v>-18.68050628098332</v>
      </c>
      <c r="M72" s="194">
        <v>20734</v>
      </c>
      <c r="N72" s="194">
        <v>23703</v>
      </c>
      <c r="O72" s="196">
        <v>14.319475258030288</v>
      </c>
    </row>
    <row r="73" spans="1:15" s="12" customFormat="1" ht="18.75">
      <c r="A73" s="221" t="str">
        <f>INDEX(Lookup!$A$1:$A$126,MATCH(DataYY03!C73,Lookup!$C$1:$C$126,0))</f>
        <v>High School</v>
      </c>
      <c r="B73" s="222" t="s">
        <v>15</v>
      </c>
      <c r="C73" s="193" t="s">
        <v>93</v>
      </c>
      <c r="D73" s="193" t="s">
        <v>17</v>
      </c>
      <c r="E73" s="194">
        <v>510425</v>
      </c>
      <c r="F73" s="195">
        <v>36526</v>
      </c>
      <c r="G73" s="194">
        <v>16581.064384</v>
      </c>
      <c r="H73" s="194">
        <v>16243.679000000002</v>
      </c>
      <c r="I73" s="196">
        <v>-2.034763126096789</v>
      </c>
      <c r="J73" s="197">
        <v>397054.01</v>
      </c>
      <c r="K73" s="197">
        <v>340694.22</v>
      </c>
      <c r="L73" s="198">
        <v>-14.194489560752704</v>
      </c>
      <c r="M73" s="194">
        <v>21001</v>
      </c>
      <c r="N73" s="194">
        <v>20352</v>
      </c>
      <c r="O73" s="196">
        <v>-3.09032903195086</v>
      </c>
    </row>
    <row r="74" spans="1:15" s="12" customFormat="1" ht="18.75">
      <c r="A74" s="221" t="str">
        <f>INDEX(Lookup!$A$1:$A$126,MATCH(DataYY03!C74,Lookup!$C$1:$C$126,0))</f>
        <v>Administration</v>
      </c>
      <c r="B74" s="222" t="s">
        <v>15</v>
      </c>
      <c r="C74" s="193" t="s">
        <v>94</v>
      </c>
      <c r="D74" s="193" t="s">
        <v>17</v>
      </c>
      <c r="E74" s="194">
        <v>2385</v>
      </c>
      <c r="F74" s="195">
        <v>36526</v>
      </c>
      <c r="G74" s="194">
        <v>196.5312</v>
      </c>
      <c r="H74" s="194">
        <v>186.04953599999996</v>
      </c>
      <c r="I74" s="196">
        <v>-5.333333333333361</v>
      </c>
      <c r="J74" s="197">
        <v>13747.35</v>
      </c>
      <c r="K74" s="197">
        <v>11230.31</v>
      </c>
      <c r="L74" s="198">
        <v>-18.309274151018197</v>
      </c>
      <c r="M74" s="194">
        <v>1259</v>
      </c>
      <c r="N74" s="194">
        <v>1182</v>
      </c>
      <c r="O74" s="196">
        <v>-6.115965051628276</v>
      </c>
    </row>
    <row r="75" spans="1:15" s="12" customFormat="1" ht="18.75">
      <c r="A75" s="221" t="str">
        <f>INDEX(Lookup!$A$1:$A$126,MATCH(DataYY03!C75,Lookup!$C$1:$C$126,0))</f>
        <v>Elementary School</v>
      </c>
      <c r="B75" s="222" t="s">
        <v>15</v>
      </c>
      <c r="C75" s="193" t="s">
        <v>95</v>
      </c>
      <c r="D75" s="193" t="s">
        <v>21</v>
      </c>
      <c r="E75" s="194">
        <v>73726</v>
      </c>
      <c r="F75" s="195">
        <v>36526</v>
      </c>
      <c r="G75" s="194">
        <v>1908.9730559999996</v>
      </c>
      <c r="H75" s="194">
        <v>2009.2039680000003</v>
      </c>
      <c r="I75" s="196">
        <v>5.250514756348691</v>
      </c>
      <c r="J75" s="197">
        <v>52471.93</v>
      </c>
      <c r="K75" s="197">
        <v>51231.24</v>
      </c>
      <c r="L75" s="198">
        <v>-2.364483258000992</v>
      </c>
      <c r="M75" s="194">
        <v>3532</v>
      </c>
      <c r="N75" s="194">
        <v>3793</v>
      </c>
      <c r="O75" s="196">
        <v>7.389580973952435</v>
      </c>
    </row>
    <row r="76" spans="1:15" s="12" customFormat="1" ht="18.75">
      <c r="A76" s="221" t="str">
        <f>INDEX(Lookup!$A$1:$A$126,MATCH(DataYY03!C76,Lookup!$C$1:$C$126,0))</f>
        <v>Middle School</v>
      </c>
      <c r="B76" s="222" t="s">
        <v>15</v>
      </c>
      <c r="C76" s="193" t="s">
        <v>96</v>
      </c>
      <c r="D76" s="193" t="s">
        <v>17</v>
      </c>
      <c r="E76" s="194">
        <v>221601</v>
      </c>
      <c r="F76" s="195">
        <v>36526</v>
      </c>
      <c r="G76" s="194">
        <v>7745.976991999999</v>
      </c>
      <c r="H76" s="194">
        <v>7539.639704</v>
      </c>
      <c r="I76" s="196">
        <v>-2.6637993917759273</v>
      </c>
      <c r="J76" s="197">
        <v>204790.34</v>
      </c>
      <c r="K76" s="197">
        <v>170681.03</v>
      </c>
      <c r="L76" s="198">
        <v>-16.65572214001891</v>
      </c>
      <c r="M76" s="194">
        <v>11308</v>
      </c>
      <c r="N76" s="194">
        <v>11155</v>
      </c>
      <c r="O76" s="196">
        <v>-1.3530244074991158</v>
      </c>
    </row>
    <row r="77" spans="1:15" s="12" customFormat="1" ht="18.75">
      <c r="A77" s="221" t="str">
        <f>INDEX(Lookup!$A$1:$A$126,MATCH(DataYY03!C77,Lookup!$C$1:$C$126,0))</f>
        <v>Elementary School</v>
      </c>
      <c r="B77" s="222" t="s">
        <v>15</v>
      </c>
      <c r="C77" s="193" t="s">
        <v>97</v>
      </c>
      <c r="D77" s="193" t="s">
        <v>23</v>
      </c>
      <c r="E77" s="194">
        <v>95518</v>
      </c>
      <c r="F77" s="195">
        <v>36526</v>
      </c>
      <c r="G77" s="194">
        <v>2992.515072</v>
      </c>
      <c r="H77" s="194">
        <v>2934.2108160000002</v>
      </c>
      <c r="I77" s="196">
        <v>-1.948336252189128</v>
      </c>
      <c r="J77" s="197">
        <v>75450.01</v>
      </c>
      <c r="K77" s="197">
        <v>68392.69</v>
      </c>
      <c r="L77" s="198">
        <v>-9.353636931260844</v>
      </c>
      <c r="M77" s="194">
        <v>4837</v>
      </c>
      <c r="N77" s="194">
        <v>4972</v>
      </c>
      <c r="O77" s="196">
        <v>2.790986148439115</v>
      </c>
    </row>
    <row r="78" spans="1:15" s="12" customFormat="1" ht="18.75">
      <c r="A78" s="221" t="str">
        <f>INDEX(Lookup!$A$1:$A$126,MATCH(DataYY03!C78,Lookup!$C$1:$C$126,0))</f>
        <v>Elementary School</v>
      </c>
      <c r="B78" s="222" t="s">
        <v>15</v>
      </c>
      <c r="C78" s="193" t="s">
        <v>98</v>
      </c>
      <c r="D78" s="193" t="s">
        <v>17</v>
      </c>
      <c r="E78" s="194">
        <v>93897</v>
      </c>
      <c r="F78" s="195">
        <v>36526</v>
      </c>
      <c r="G78" s="194">
        <v>3736.0581120000006</v>
      </c>
      <c r="H78" s="194">
        <v>3716.404992</v>
      </c>
      <c r="I78" s="196">
        <v>-0.5260389268805983</v>
      </c>
      <c r="J78" s="197">
        <v>91959.61</v>
      </c>
      <c r="K78" s="197">
        <v>84146.87</v>
      </c>
      <c r="L78" s="198">
        <v>-8.495838553469289</v>
      </c>
      <c r="M78" s="194">
        <v>5766</v>
      </c>
      <c r="N78" s="194">
        <v>6082</v>
      </c>
      <c r="O78" s="196">
        <v>5.480402358654179</v>
      </c>
    </row>
    <row r="79" spans="1:15" s="12" customFormat="1" ht="18.75">
      <c r="A79" s="221" t="str">
        <f>INDEX(Lookup!$A$1:$A$126,MATCH(DataYY03!C79,Lookup!$C$1:$C$126,0))</f>
        <v>Middle School</v>
      </c>
      <c r="B79" s="222" t="s">
        <v>15</v>
      </c>
      <c r="C79" s="193" t="s">
        <v>99</v>
      </c>
      <c r="D79" s="193" t="s">
        <v>17</v>
      </c>
      <c r="E79" s="194">
        <v>189290</v>
      </c>
      <c r="F79" s="195">
        <v>36526</v>
      </c>
      <c r="G79" s="194">
        <v>6417.583032</v>
      </c>
      <c r="H79" s="194">
        <v>6602.486136</v>
      </c>
      <c r="I79" s="196">
        <v>2.8811953515524187</v>
      </c>
      <c r="J79" s="197">
        <v>153642.49</v>
      </c>
      <c r="K79" s="197">
        <v>135704.61</v>
      </c>
      <c r="L79" s="198">
        <v>-11.675077642909848</v>
      </c>
      <c r="M79" s="194">
        <v>7766</v>
      </c>
      <c r="N79" s="194">
        <v>7080</v>
      </c>
      <c r="O79" s="196">
        <v>-8.833376255472572</v>
      </c>
    </row>
    <row r="80" spans="1:15" s="12" customFormat="1" ht="18.75">
      <c r="A80" s="221" t="str">
        <f>INDEX(Lookup!$A$1:$A$126,MATCH(DataYY03!C80,Lookup!$C$1:$C$126,0))</f>
        <v>Elementary School</v>
      </c>
      <c r="B80" s="222" t="s">
        <v>15</v>
      </c>
      <c r="C80" s="193" t="s">
        <v>100</v>
      </c>
      <c r="D80" s="193" t="s">
        <v>23</v>
      </c>
      <c r="E80" s="194">
        <v>115158</v>
      </c>
      <c r="F80" s="195">
        <v>36526</v>
      </c>
      <c r="G80" s="194">
        <v>3318.9206400000003</v>
      </c>
      <c r="H80" s="194">
        <v>3060.9734399999998</v>
      </c>
      <c r="I80" s="196">
        <v>-7.772020725388609</v>
      </c>
      <c r="J80" s="197">
        <v>81938.65</v>
      </c>
      <c r="K80" s="197">
        <v>69140.87</v>
      </c>
      <c r="L80" s="198">
        <v>-15.618734260327697</v>
      </c>
      <c r="M80" s="194">
        <v>5033</v>
      </c>
      <c r="N80" s="194">
        <v>4585</v>
      </c>
      <c r="O80" s="196">
        <v>-8.90125173852573</v>
      </c>
    </row>
    <row r="81" spans="1:15" s="12" customFormat="1" ht="18.75">
      <c r="A81" s="221" t="str">
        <f>INDEX(Lookup!$A$1:$A$126,MATCH(DataYY03!C81,Lookup!$C$1:$C$126,0))</f>
        <v>High School</v>
      </c>
      <c r="B81" s="222" t="s">
        <v>15</v>
      </c>
      <c r="C81" s="193" t="s">
        <v>101</v>
      </c>
      <c r="D81" s="193" t="s">
        <v>17</v>
      </c>
      <c r="E81" s="194">
        <v>535686</v>
      </c>
      <c r="F81" s="195">
        <v>36526</v>
      </c>
      <c r="G81" s="194">
        <v>17202.942328</v>
      </c>
      <c r="H81" s="194">
        <v>14829.039916000002</v>
      </c>
      <c r="I81" s="196">
        <v>-13.799397607327723</v>
      </c>
      <c r="J81" s="197">
        <v>394574.18</v>
      </c>
      <c r="K81" s="197">
        <v>296292.12</v>
      </c>
      <c r="L81" s="198">
        <v>-24.90838604796695</v>
      </c>
      <c r="M81" s="194">
        <v>19584</v>
      </c>
      <c r="N81" s="194">
        <v>16526</v>
      </c>
      <c r="O81" s="196">
        <v>-15.614787581699348</v>
      </c>
    </row>
    <row r="82" spans="1:15" s="12" customFormat="1" ht="18.75">
      <c r="A82" s="221" t="str">
        <f>INDEX(Lookup!$A$1:$A$126,MATCH(DataYY03!C82,Lookup!$C$1:$C$126,0))</f>
        <v>Administration</v>
      </c>
      <c r="B82" s="222" t="s">
        <v>15</v>
      </c>
      <c r="C82" s="193" t="s">
        <v>102</v>
      </c>
      <c r="D82" s="193" t="s">
        <v>17</v>
      </c>
      <c r="E82" s="194">
        <v>0</v>
      </c>
      <c r="F82" s="195">
        <v>36526</v>
      </c>
      <c r="G82" s="194">
        <v>40.61644800000001</v>
      </c>
      <c r="H82" s="194">
        <v>14.412288</v>
      </c>
      <c r="I82" s="196">
        <v>-64.51612903225808</v>
      </c>
      <c r="J82" s="197">
        <v>4175.4</v>
      </c>
      <c r="K82" s="197">
        <v>2726.6</v>
      </c>
      <c r="L82" s="198">
        <v>-34.69847200268238</v>
      </c>
      <c r="M82" s="194">
        <v>284</v>
      </c>
      <c r="N82" s="194">
        <v>250</v>
      </c>
      <c r="O82" s="196">
        <v>-11.971830985915492</v>
      </c>
    </row>
    <row r="83" spans="1:15" s="12" customFormat="1" ht="18.75">
      <c r="A83" s="221" t="str">
        <f>INDEX(Lookup!$A$1:$A$126,MATCH(DataYY03!C83,Lookup!$C$1:$C$126,0))</f>
        <v>Elementary School</v>
      </c>
      <c r="B83" s="222" t="s">
        <v>15</v>
      </c>
      <c r="C83" s="193" t="s">
        <v>103</v>
      </c>
      <c r="D83" s="193" t="s">
        <v>17</v>
      </c>
      <c r="E83" s="194">
        <v>95352</v>
      </c>
      <c r="F83" s="195">
        <v>36526</v>
      </c>
      <c r="G83" s="194">
        <v>3342.340608</v>
      </c>
      <c r="H83" s="194">
        <v>4105.536768</v>
      </c>
      <c r="I83" s="196">
        <v>22.8341826734614</v>
      </c>
      <c r="J83" s="197">
        <v>85817.97</v>
      </c>
      <c r="K83" s="197">
        <v>83973.89</v>
      </c>
      <c r="L83" s="198">
        <v>-2.1488273376776448</v>
      </c>
      <c r="M83" s="194">
        <v>5753</v>
      </c>
      <c r="N83" s="194">
        <v>5104</v>
      </c>
      <c r="O83" s="196">
        <v>-11.281070745697896</v>
      </c>
    </row>
    <row r="84" spans="1:15" s="12" customFormat="1" ht="18.75">
      <c r="A84" s="221" t="str">
        <f>INDEX(Lookup!$A$1:$A$126,MATCH(DataYY03!C84,Lookup!$C$1:$C$126,0))</f>
        <v>Elementary School</v>
      </c>
      <c r="B84" s="222" t="s">
        <v>15</v>
      </c>
      <c r="C84" s="193" t="s">
        <v>104</v>
      </c>
      <c r="D84" s="193" t="s">
        <v>17</v>
      </c>
      <c r="E84" s="194">
        <v>88406</v>
      </c>
      <c r="F84" s="195">
        <v>36526</v>
      </c>
      <c r="G84" s="194">
        <v>2779.933824</v>
      </c>
      <c r="H84" s="194">
        <v>2895.887232</v>
      </c>
      <c r="I84" s="196">
        <v>4.1710851891127625</v>
      </c>
      <c r="J84" s="197">
        <v>71491.23</v>
      </c>
      <c r="K84" s="197">
        <v>67008.85</v>
      </c>
      <c r="L84" s="198">
        <v>-6.269831977992266</v>
      </c>
      <c r="M84" s="194">
        <v>4700</v>
      </c>
      <c r="N84" s="194">
        <v>4772</v>
      </c>
      <c r="O84" s="196">
        <v>1.5319148936170215</v>
      </c>
    </row>
    <row r="85" spans="1:15" s="12" customFormat="1" ht="18.75">
      <c r="A85" s="221" t="str">
        <f>INDEX(Lookup!$A$1:$A$126,MATCH(DataYY03!C85,Lookup!$C$1:$C$126,0))</f>
        <v>Elementary School</v>
      </c>
      <c r="B85" s="222" t="s">
        <v>15</v>
      </c>
      <c r="C85" s="193" t="s">
        <v>105</v>
      </c>
      <c r="D85" s="193" t="s">
        <v>17</v>
      </c>
      <c r="E85" s="194">
        <v>77078</v>
      </c>
      <c r="F85" s="195">
        <v>36526</v>
      </c>
      <c r="G85" s="194">
        <v>3060.6458879999996</v>
      </c>
      <c r="H85" s="194">
        <v>3037.7172479999995</v>
      </c>
      <c r="I85" s="196">
        <v>-0.7491438356164388</v>
      </c>
      <c r="J85" s="197">
        <v>81948.15</v>
      </c>
      <c r="K85" s="197">
        <v>74402.53</v>
      </c>
      <c r="L85" s="198">
        <v>-9.20779785754773</v>
      </c>
      <c r="M85" s="194">
        <v>5715</v>
      </c>
      <c r="N85" s="194">
        <v>5692</v>
      </c>
      <c r="O85" s="196">
        <v>-0.4024496937882765</v>
      </c>
    </row>
    <row r="86" spans="1:15" s="12" customFormat="1" ht="18.75">
      <c r="A86" s="221" t="str">
        <f>INDEX(Lookup!$A$1:$A$126,MATCH(DataYY03!C86,Lookup!$C$1:$C$126,0))</f>
        <v>Administration</v>
      </c>
      <c r="B86" s="222" t="s">
        <v>15</v>
      </c>
      <c r="C86" s="193" t="s">
        <v>106</v>
      </c>
      <c r="D86" s="193" t="s">
        <v>17</v>
      </c>
      <c r="E86" s="194">
        <v>35143</v>
      </c>
      <c r="F86" s="195">
        <v>36526</v>
      </c>
      <c r="G86" s="194">
        <v>3339.720192</v>
      </c>
      <c r="H86" s="194">
        <v>3371.8202880000003</v>
      </c>
      <c r="I86" s="196">
        <v>0.9611612397018409</v>
      </c>
      <c r="J86" s="197">
        <v>74378.5</v>
      </c>
      <c r="K86" s="197">
        <v>65379.52</v>
      </c>
      <c r="L86" s="198">
        <v>-12.098899547584315</v>
      </c>
      <c r="M86" s="194">
        <v>3758</v>
      </c>
      <c r="N86" s="194">
        <v>3727</v>
      </c>
      <c r="O86" s="196">
        <v>-0.8249068653539117</v>
      </c>
    </row>
    <row r="87" spans="1:15" s="12" customFormat="1" ht="18.75">
      <c r="A87" s="221" t="str">
        <f>INDEX(Lookup!$A$1:$A$126,MATCH(DataYY03!C87,Lookup!$C$1:$C$126,0))</f>
        <v>Elementary School</v>
      </c>
      <c r="B87" s="222" t="s">
        <v>15</v>
      </c>
      <c r="C87" s="193" t="s">
        <v>107</v>
      </c>
      <c r="D87" s="193" t="s">
        <v>17</v>
      </c>
      <c r="E87" s="194">
        <v>124682</v>
      </c>
      <c r="F87" s="195">
        <v>36526</v>
      </c>
      <c r="G87" s="194">
        <v>3400.6448640000003</v>
      </c>
      <c r="H87" s="194">
        <v>3232.283136</v>
      </c>
      <c r="I87" s="196">
        <v>-4.950876517048755</v>
      </c>
      <c r="J87" s="197">
        <v>75850.52</v>
      </c>
      <c r="K87" s="197">
        <v>69790.75</v>
      </c>
      <c r="L87" s="198">
        <v>-7.989094867114952</v>
      </c>
      <c r="M87" s="194">
        <v>5077</v>
      </c>
      <c r="N87" s="194">
        <v>4347</v>
      </c>
      <c r="O87" s="196">
        <v>-14.37857002166634</v>
      </c>
    </row>
    <row r="88" spans="1:15" s="12" customFormat="1" ht="18.75">
      <c r="A88" s="221" t="str">
        <f>INDEX(Lookup!$A$1:$A$126,MATCH(DataYY03!C88,Lookup!$C$1:$C$126,0))</f>
        <v>Elementary School</v>
      </c>
      <c r="B88" s="222" t="s">
        <v>15</v>
      </c>
      <c r="C88" s="193" t="s">
        <v>108</v>
      </c>
      <c r="D88" s="193" t="s">
        <v>21</v>
      </c>
      <c r="E88" s="194">
        <v>107075</v>
      </c>
      <c r="F88" s="195">
        <v>36526</v>
      </c>
      <c r="G88" s="194">
        <v>4045.2535520000006</v>
      </c>
      <c r="H88" s="194">
        <v>3507.14362</v>
      </c>
      <c r="I88" s="196">
        <v>-13.302254730953903</v>
      </c>
      <c r="J88" s="197">
        <v>97498.91</v>
      </c>
      <c r="K88" s="197">
        <v>84372.82</v>
      </c>
      <c r="L88" s="198">
        <v>-13.462806917533744</v>
      </c>
      <c r="M88" s="194">
        <v>4619</v>
      </c>
      <c r="N88" s="194">
        <v>4609</v>
      </c>
      <c r="O88" s="196">
        <v>-0.2164970772894566</v>
      </c>
    </row>
    <row r="89" spans="1:15" s="12" customFormat="1" ht="18.75">
      <c r="A89" s="221" t="str">
        <f>INDEX(Lookup!$A$1:$A$126,MATCH(DataYY03!C89,Lookup!$C$1:$C$126,0))</f>
        <v>Elementary School</v>
      </c>
      <c r="B89" s="222" t="s">
        <v>15</v>
      </c>
      <c r="C89" s="193" t="s">
        <v>109</v>
      </c>
      <c r="D89" s="193" t="s">
        <v>17</v>
      </c>
      <c r="E89" s="194">
        <v>88192</v>
      </c>
      <c r="F89" s="195">
        <v>36526</v>
      </c>
      <c r="G89" s="194">
        <v>3157.273728</v>
      </c>
      <c r="H89" s="194">
        <v>2424.212352</v>
      </c>
      <c r="I89" s="196">
        <v>-23.218176159352634</v>
      </c>
      <c r="J89" s="197">
        <v>77975.81</v>
      </c>
      <c r="K89" s="197">
        <v>58856.69</v>
      </c>
      <c r="L89" s="198">
        <v>-24.519296433086105</v>
      </c>
      <c r="M89" s="194">
        <v>4643</v>
      </c>
      <c r="N89" s="194">
        <v>4497</v>
      </c>
      <c r="O89" s="196">
        <v>-3.1445186301959938</v>
      </c>
    </row>
    <row r="90" spans="1:15" s="12" customFormat="1" ht="18.75">
      <c r="A90" s="221" t="str">
        <f>INDEX(Lookup!$A$1:$A$126,MATCH(DataYY03!C90,Lookup!$C$1:$C$126,0))</f>
        <v>Elementary School</v>
      </c>
      <c r="B90" s="222" t="s">
        <v>15</v>
      </c>
      <c r="C90" s="193" t="s">
        <v>110</v>
      </c>
      <c r="D90" s="193" t="s">
        <v>23</v>
      </c>
      <c r="E90" s="194">
        <v>74252</v>
      </c>
      <c r="F90" s="195">
        <v>36526</v>
      </c>
      <c r="G90" s="194">
        <v>2625.001728</v>
      </c>
      <c r="H90" s="194">
        <v>2657.7569280000002</v>
      </c>
      <c r="I90" s="196">
        <v>1.2478163214374915</v>
      </c>
      <c r="J90" s="197">
        <v>71054.43</v>
      </c>
      <c r="K90" s="197">
        <v>63850.81</v>
      </c>
      <c r="L90" s="198">
        <v>-10.138171539761842</v>
      </c>
      <c r="M90" s="194">
        <v>4948</v>
      </c>
      <c r="N90" s="194">
        <v>4685</v>
      </c>
      <c r="O90" s="196">
        <v>-5.315278900565885</v>
      </c>
    </row>
    <row r="91" spans="1:15" s="12" customFormat="1" ht="18.75">
      <c r="A91" s="221" t="str">
        <f>INDEX(Lookup!$A$1:$A$126,MATCH(DataYY03!C91,Lookup!$C$1:$C$126,0))</f>
        <v>Administration</v>
      </c>
      <c r="B91" s="222" t="s">
        <v>15</v>
      </c>
      <c r="C91" s="193" t="s">
        <v>111</v>
      </c>
      <c r="D91" s="193" t="s">
        <v>23</v>
      </c>
      <c r="E91" s="194">
        <v>1121</v>
      </c>
      <c r="F91" s="195">
        <v>36526</v>
      </c>
      <c r="G91" s="194">
        <v>4.664204000000001</v>
      </c>
      <c r="H91" s="194">
        <v>7.288031999999999</v>
      </c>
      <c r="I91" s="196">
        <v>56.25457205559617</v>
      </c>
      <c r="J91" s="197">
        <v>178.16</v>
      </c>
      <c r="K91" s="197">
        <v>216.41</v>
      </c>
      <c r="L91" s="198">
        <v>21.46946564885496</v>
      </c>
      <c r="M91" s="194">
        <v>21</v>
      </c>
      <c r="N91" s="194">
        <v>22</v>
      </c>
      <c r="O91" s="196">
        <v>4.761904761904762</v>
      </c>
    </row>
    <row r="92" spans="1:15" s="12" customFormat="1" ht="18.75">
      <c r="A92" s="221" t="str">
        <f>INDEX(Lookup!$A$1:$A$126,MATCH(DataYY03!C92,Lookup!$C$1:$C$126,0))</f>
        <v>Administration</v>
      </c>
      <c r="B92" s="222" t="s">
        <v>15</v>
      </c>
      <c r="C92" s="193" t="s">
        <v>112</v>
      </c>
      <c r="D92" s="193" t="s">
        <v>23</v>
      </c>
      <c r="E92" s="194">
        <v>924</v>
      </c>
      <c r="F92" s="195">
        <v>36526</v>
      </c>
      <c r="G92" s="194">
        <v>17.824287999999996</v>
      </c>
      <c r="H92" s="194">
        <v>15.674728</v>
      </c>
      <c r="I92" s="196">
        <v>-12.059724349157719</v>
      </c>
      <c r="J92" s="197">
        <v>479.82</v>
      </c>
      <c r="K92" s="197">
        <v>407.29</v>
      </c>
      <c r="L92" s="198">
        <v>-15.116085198616148</v>
      </c>
      <c r="M92" s="194">
        <v>23</v>
      </c>
      <c r="N92" s="194">
        <v>21</v>
      </c>
      <c r="O92" s="196">
        <v>-8.695652173913043</v>
      </c>
    </row>
    <row r="93" spans="1:15" s="12" customFormat="1" ht="18.75">
      <c r="A93" s="221" t="str">
        <f>INDEX(Lookup!$A$1:$A$126,MATCH(DataYY03!C93,Lookup!$C$1:$C$126,0))</f>
        <v>Elementary School</v>
      </c>
      <c r="B93" s="222" t="s">
        <v>15</v>
      </c>
      <c r="C93" s="193" t="s">
        <v>113</v>
      </c>
      <c r="D93" s="193" t="s">
        <v>17</v>
      </c>
      <c r="E93" s="194">
        <v>83355</v>
      </c>
      <c r="F93" s="195">
        <v>36526</v>
      </c>
      <c r="G93" s="194">
        <v>2666.2732800000003</v>
      </c>
      <c r="H93" s="194">
        <v>2197.218816</v>
      </c>
      <c r="I93" s="196">
        <v>-17.592137592137597</v>
      </c>
      <c r="J93" s="197">
        <v>63670.27</v>
      </c>
      <c r="K93" s="197">
        <v>51165.86</v>
      </c>
      <c r="L93" s="198">
        <v>-19.639323030984475</v>
      </c>
      <c r="M93" s="194">
        <v>2856</v>
      </c>
      <c r="N93" s="194">
        <v>3420</v>
      </c>
      <c r="O93" s="196">
        <v>19.747899159663866</v>
      </c>
    </row>
    <row r="94" spans="1:15" s="11" customFormat="1" ht="18.75">
      <c r="A94" s="221" t="str">
        <f>INDEX(Lookup!$A$1:$A$126,MATCH(DataYY03!C94,Lookup!$C$1:$C$126,0))</f>
        <v>Elementary School</v>
      </c>
      <c r="B94" s="222" t="s">
        <v>15</v>
      </c>
      <c r="C94" s="193" t="s">
        <v>114</v>
      </c>
      <c r="D94" s="193" t="s">
        <v>17</v>
      </c>
      <c r="E94" s="194">
        <v>84893</v>
      </c>
      <c r="F94" s="195">
        <v>36526</v>
      </c>
      <c r="G94" s="194">
        <v>3230.317824</v>
      </c>
      <c r="H94" s="194">
        <v>2974.17216</v>
      </c>
      <c r="I94" s="196">
        <v>-7.92942607990266</v>
      </c>
      <c r="J94" s="197">
        <v>79130.29</v>
      </c>
      <c r="K94" s="197">
        <v>72177.93</v>
      </c>
      <c r="L94" s="198">
        <v>-8.78596552596989</v>
      </c>
      <c r="M94" s="194">
        <v>5015</v>
      </c>
      <c r="N94" s="194">
        <v>5590</v>
      </c>
      <c r="O94" s="196">
        <v>11.465603190428714</v>
      </c>
    </row>
    <row r="95" spans="1:15" s="11" customFormat="1" ht="18.75">
      <c r="A95" s="221" t="str">
        <f>INDEX(Lookup!$A$1:$A$126,MATCH(DataYY03!C95,Lookup!$C$1:$C$126,0))</f>
        <v>Elementary School</v>
      </c>
      <c r="B95" s="222" t="s">
        <v>15</v>
      </c>
      <c r="C95" s="193" t="s">
        <v>115</v>
      </c>
      <c r="D95" s="193" t="s">
        <v>23</v>
      </c>
      <c r="E95" s="194">
        <v>112970</v>
      </c>
      <c r="F95" s="195">
        <v>36526</v>
      </c>
      <c r="G95" s="194">
        <v>2910.627072</v>
      </c>
      <c r="H95" s="194">
        <v>3029.2008959999994</v>
      </c>
      <c r="I95" s="196">
        <v>4.07382399279764</v>
      </c>
      <c r="J95" s="197">
        <v>70793.66</v>
      </c>
      <c r="K95" s="197">
        <v>63940.15</v>
      </c>
      <c r="L95" s="198">
        <v>-9.680965781399069</v>
      </c>
      <c r="M95" s="194">
        <v>4230</v>
      </c>
      <c r="N95" s="194">
        <v>4154</v>
      </c>
      <c r="O95" s="196">
        <v>-1.7966903073286054</v>
      </c>
    </row>
    <row r="96" spans="1:15" s="11" customFormat="1" ht="18.75">
      <c r="A96" s="221" t="str">
        <f>INDEX(Lookup!$A$1:$A$126,MATCH(DataYY03!C96,Lookup!$C$1:$C$126,0))</f>
        <v>Elementary School</v>
      </c>
      <c r="B96" s="222" t="s">
        <v>15</v>
      </c>
      <c r="C96" s="193" t="s">
        <v>116</v>
      </c>
      <c r="D96" s="193" t="s">
        <v>17</v>
      </c>
      <c r="E96" s="194">
        <v>104852</v>
      </c>
      <c r="F96" s="195">
        <v>36526</v>
      </c>
      <c r="G96" s="194">
        <v>3364.614144</v>
      </c>
      <c r="H96" s="194">
        <v>3227.6974079999995</v>
      </c>
      <c r="I96" s="196">
        <v>-4.06931464174456</v>
      </c>
      <c r="J96" s="197">
        <v>87306.38</v>
      </c>
      <c r="K96" s="197">
        <v>75541.31</v>
      </c>
      <c r="L96" s="198">
        <v>-13.475613122431604</v>
      </c>
      <c r="M96" s="194">
        <v>5657</v>
      </c>
      <c r="N96" s="194">
        <v>5356</v>
      </c>
      <c r="O96" s="196">
        <v>-5.3208414353897835</v>
      </c>
    </row>
    <row r="97" spans="1:15" s="11" customFormat="1" ht="18.75">
      <c r="A97" s="221" t="str">
        <f>INDEX(Lookup!$A$1:$A$126,MATCH(DataYY03!C97,Lookup!$C$1:$C$126,0))</f>
        <v>Elementary School</v>
      </c>
      <c r="B97" s="222" t="s">
        <v>15</v>
      </c>
      <c r="C97" s="193" t="s">
        <v>117</v>
      </c>
      <c r="D97" s="193" t="s">
        <v>23</v>
      </c>
      <c r="E97" s="194">
        <v>100456</v>
      </c>
      <c r="F97" s="195">
        <v>36526</v>
      </c>
      <c r="G97" s="194">
        <v>3078.3336959999997</v>
      </c>
      <c r="H97" s="194">
        <v>3181.8401280000003</v>
      </c>
      <c r="I97" s="196">
        <v>3.362417535645898</v>
      </c>
      <c r="J97" s="197">
        <v>80184.92</v>
      </c>
      <c r="K97" s="197">
        <v>71784.53</v>
      </c>
      <c r="L97" s="198">
        <v>-10.476271598200759</v>
      </c>
      <c r="M97" s="194">
        <v>5135</v>
      </c>
      <c r="N97" s="194">
        <v>4887</v>
      </c>
      <c r="O97" s="196">
        <v>-4.829600778967867</v>
      </c>
    </row>
    <row r="98" spans="1:15" s="11" customFormat="1" ht="18.75">
      <c r="A98" s="221" t="str">
        <f>INDEX(Lookup!$A$1:$A$126,MATCH(DataYY03!C98,Lookup!$C$1:$C$126,0))</f>
        <v>Administration</v>
      </c>
      <c r="B98" s="222" t="s">
        <v>15</v>
      </c>
      <c r="C98" s="193" t="s">
        <v>118</v>
      </c>
      <c r="D98" s="193" t="s">
        <v>17</v>
      </c>
      <c r="E98" s="194">
        <v>86181</v>
      </c>
      <c r="F98" s="195">
        <v>36526</v>
      </c>
      <c r="G98" s="194">
        <v>2062.5949439999995</v>
      </c>
      <c r="H98" s="194">
        <v>2278.7792640000002</v>
      </c>
      <c r="I98" s="196">
        <v>10.481181515007174</v>
      </c>
      <c r="J98" s="197">
        <v>52118.64</v>
      </c>
      <c r="K98" s="197">
        <v>50324.5</v>
      </c>
      <c r="L98" s="198">
        <v>-3.442415228025904</v>
      </c>
      <c r="M98" s="194">
        <v>3000</v>
      </c>
      <c r="N98" s="194">
        <v>3246</v>
      </c>
      <c r="O98" s="196">
        <v>8.2</v>
      </c>
    </row>
    <row r="99" spans="1:15" s="11" customFormat="1" ht="18.75">
      <c r="A99" s="221" t="str">
        <f>INDEX(Lookup!$A$1:$A$126,MATCH(DataYY03!C99,Lookup!$C$1:$C$126,0))</f>
        <v>Administration</v>
      </c>
      <c r="B99" s="222" t="s">
        <v>15</v>
      </c>
      <c r="C99" s="193" t="s">
        <v>119</v>
      </c>
      <c r="D99" s="193" t="s">
        <v>17</v>
      </c>
      <c r="E99" s="194">
        <v>0</v>
      </c>
      <c r="F99" s="195">
        <v>36526</v>
      </c>
      <c r="G99" s="194">
        <v>43.891968000000006</v>
      </c>
      <c r="H99" s="194">
        <v>53.39097600000001</v>
      </c>
      <c r="I99" s="196">
        <v>21.641791044776124</v>
      </c>
      <c r="J99" s="197">
        <v>1761.5</v>
      </c>
      <c r="K99" s="197">
        <v>1829.72</v>
      </c>
      <c r="L99" s="198">
        <v>3.8728356514334377</v>
      </c>
      <c r="M99" s="194">
        <v>137</v>
      </c>
      <c r="N99" s="194">
        <v>150</v>
      </c>
      <c r="O99" s="196">
        <v>9.489051094890511</v>
      </c>
    </row>
    <row r="100" spans="1:15" s="11" customFormat="1" ht="18.75">
      <c r="A100" s="221" t="str">
        <f>INDEX(Lookup!$A$1:$A$126,MATCH(DataYY03!C100,Lookup!$C$1:$C$126,0))</f>
        <v>Elementary School</v>
      </c>
      <c r="B100" s="222" t="s">
        <v>15</v>
      </c>
      <c r="C100" s="193" t="s">
        <v>120</v>
      </c>
      <c r="D100" s="193" t="s">
        <v>17</v>
      </c>
      <c r="E100" s="194">
        <v>90012</v>
      </c>
      <c r="F100" s="195">
        <v>36526</v>
      </c>
      <c r="G100" s="194">
        <v>3595.2107519999995</v>
      </c>
      <c r="H100" s="194">
        <v>2714.750976</v>
      </c>
      <c r="I100" s="196">
        <v>-24.489795918367346</v>
      </c>
      <c r="J100" s="197">
        <v>86618.39</v>
      </c>
      <c r="K100" s="197">
        <v>65321.12</v>
      </c>
      <c r="L100" s="198">
        <v>-24.5874692429633</v>
      </c>
      <c r="M100" s="194">
        <v>5222</v>
      </c>
      <c r="N100" s="194">
        <v>4768</v>
      </c>
      <c r="O100" s="196">
        <v>-8.693986978169283</v>
      </c>
    </row>
    <row r="101" spans="1:15" s="11" customFormat="1" ht="18.75">
      <c r="A101" s="221" t="str">
        <f>INDEX(Lookup!$A$1:$A$126,MATCH(DataYY03!C101,Lookup!$C$1:$C$126,0))</f>
        <v>Elementary School</v>
      </c>
      <c r="B101" s="222" t="s">
        <v>15</v>
      </c>
      <c r="C101" s="193" t="s">
        <v>121</v>
      </c>
      <c r="D101" s="193" t="s">
        <v>23</v>
      </c>
      <c r="E101" s="194">
        <v>110549</v>
      </c>
      <c r="F101" s="195">
        <v>36526</v>
      </c>
      <c r="G101" s="194">
        <v>1958.341284</v>
      </c>
      <c r="H101" s="194">
        <v>1956.782</v>
      </c>
      <c r="I101" s="196">
        <v>-0.07962268950463153</v>
      </c>
      <c r="J101" s="197">
        <v>42095.94</v>
      </c>
      <c r="K101" s="197">
        <v>38170.34</v>
      </c>
      <c r="L101" s="198">
        <v>-9.3253648689161</v>
      </c>
      <c r="M101" s="194">
        <v>2123</v>
      </c>
      <c r="N101" s="194">
        <v>2129</v>
      </c>
      <c r="O101" s="196">
        <v>0.2826189354686764</v>
      </c>
    </row>
    <row r="102" spans="1:15" s="11" customFormat="1" ht="18.75">
      <c r="A102" s="221" t="str">
        <f>INDEX(Lookup!$A$1:$A$126,MATCH(DataYY03!C102,Lookup!$C$1:$C$126,0))</f>
        <v>Elementary School</v>
      </c>
      <c r="B102" s="222" t="s">
        <v>15</v>
      </c>
      <c r="C102" s="193" t="s">
        <v>122</v>
      </c>
      <c r="D102" s="193" t="s">
        <v>21</v>
      </c>
      <c r="E102" s="194">
        <v>96996</v>
      </c>
      <c r="F102" s="195">
        <v>36526</v>
      </c>
      <c r="G102" s="194">
        <v>3116.9848319999996</v>
      </c>
      <c r="H102" s="194">
        <v>2919.143424</v>
      </c>
      <c r="I102" s="196">
        <v>-6.3472047078604446</v>
      </c>
      <c r="J102" s="197">
        <v>79518.32</v>
      </c>
      <c r="K102" s="197">
        <v>69904.39</v>
      </c>
      <c r="L102" s="198">
        <v>-12.090207640201655</v>
      </c>
      <c r="M102" s="194">
        <v>5079</v>
      </c>
      <c r="N102" s="194">
        <v>5171</v>
      </c>
      <c r="O102" s="196">
        <v>1.8113801929513684</v>
      </c>
    </row>
    <row r="103" spans="1:15" s="11" customFormat="1" ht="18.75">
      <c r="A103" s="221" t="str">
        <f>INDEX(Lookup!$A$1:$A$126,MATCH(DataYY03!C103,Lookup!$C$1:$C$126,0))</f>
        <v>Elementary School</v>
      </c>
      <c r="B103" s="222" t="s">
        <v>15</v>
      </c>
      <c r="C103" s="193" t="s">
        <v>123</v>
      </c>
      <c r="D103" s="193" t="s">
        <v>23</v>
      </c>
      <c r="E103" s="194">
        <v>92346</v>
      </c>
      <c r="F103" s="195">
        <v>36526</v>
      </c>
      <c r="G103" s="194">
        <v>2479.56864</v>
      </c>
      <c r="H103" s="194">
        <v>2505.7728</v>
      </c>
      <c r="I103" s="196">
        <v>1.05680317040951</v>
      </c>
      <c r="J103" s="197">
        <v>54956.11</v>
      </c>
      <c r="K103" s="197">
        <v>48486.22</v>
      </c>
      <c r="L103" s="198">
        <v>-11.77283108284047</v>
      </c>
      <c r="M103" s="194">
        <v>2755</v>
      </c>
      <c r="N103" s="194">
        <v>2730</v>
      </c>
      <c r="O103" s="196">
        <v>-0.9074410163339383</v>
      </c>
    </row>
    <row r="104" spans="1:15" s="11" customFormat="1" ht="18.75">
      <c r="A104" s="221" t="str">
        <f>INDEX(Lookup!$A$1:$A$126,MATCH(DataYY03!C104,Lookup!$C$1:$C$126,0))</f>
        <v>Middle School</v>
      </c>
      <c r="B104" s="222" t="s">
        <v>15</v>
      </c>
      <c r="C104" s="193" t="s">
        <v>124</v>
      </c>
      <c r="D104" s="193" t="s">
        <v>23</v>
      </c>
      <c r="E104" s="194">
        <v>240580</v>
      </c>
      <c r="F104" s="195">
        <v>36526</v>
      </c>
      <c r="G104" s="194">
        <v>7059.9943920000005</v>
      </c>
      <c r="H104" s="194">
        <v>7132.12066</v>
      </c>
      <c r="I104" s="196">
        <v>1.021619338419436</v>
      </c>
      <c r="J104" s="197">
        <v>160436.94</v>
      </c>
      <c r="K104" s="197">
        <v>149181.05</v>
      </c>
      <c r="L104" s="198">
        <v>-7.015772053493416</v>
      </c>
      <c r="M104" s="194">
        <v>10450</v>
      </c>
      <c r="N104" s="194">
        <v>9901</v>
      </c>
      <c r="O104" s="196">
        <v>-5.253588516746412</v>
      </c>
    </row>
    <row r="105" spans="1:15" s="11" customFormat="1" ht="18.75">
      <c r="A105" s="221" t="str">
        <f>INDEX(Lookup!$A$1:$A$126,MATCH(DataYY03!C105,Lookup!$C$1:$C$126,0))</f>
        <v>Elementary School</v>
      </c>
      <c r="B105" s="222" t="s">
        <v>15</v>
      </c>
      <c r="C105" s="193" t="s">
        <v>125</v>
      </c>
      <c r="D105" s="193" t="s">
        <v>23</v>
      </c>
      <c r="E105" s="194">
        <v>96096</v>
      </c>
      <c r="F105" s="195">
        <v>36526</v>
      </c>
      <c r="G105" s="194">
        <v>3836.289024</v>
      </c>
      <c r="H105" s="194">
        <v>3374.8501440000005</v>
      </c>
      <c r="I105" s="196">
        <v>-12.028261612021852</v>
      </c>
      <c r="J105" s="197">
        <v>96612.69</v>
      </c>
      <c r="K105" s="197">
        <v>78435.48</v>
      </c>
      <c r="L105" s="198">
        <v>-18.814515981285687</v>
      </c>
      <c r="M105" s="194">
        <v>6040</v>
      </c>
      <c r="N105" s="194">
        <v>5772</v>
      </c>
      <c r="O105" s="196">
        <v>-4.437086092715232</v>
      </c>
    </row>
    <row r="106" spans="1:15" s="14" customFormat="1" ht="18.75">
      <c r="A106" s="221" t="str">
        <f>INDEX(Lookup!$A$1:$A$126,MATCH(DataYY03!C106,Lookup!$C$1:$C$126,0))</f>
        <v>Administration</v>
      </c>
      <c r="B106" s="222" t="s">
        <v>15</v>
      </c>
      <c r="C106" s="193" t="s">
        <v>126</v>
      </c>
      <c r="D106" s="193" t="s">
        <v>23</v>
      </c>
      <c r="E106" s="194">
        <v>22020</v>
      </c>
      <c r="F106" s="195">
        <v>36526</v>
      </c>
      <c r="G106" s="194">
        <v>5261.140224</v>
      </c>
      <c r="H106" s="194">
        <v>5274.917879999999</v>
      </c>
      <c r="I106" s="196">
        <v>0.2618758560577621</v>
      </c>
      <c r="J106" s="197">
        <v>102666.51</v>
      </c>
      <c r="K106" s="197">
        <v>89165.45</v>
      </c>
      <c r="L106" s="198">
        <v>-13.150403184056806</v>
      </c>
      <c r="M106" s="194">
        <v>3827</v>
      </c>
      <c r="N106" s="194">
        <v>3626</v>
      </c>
      <c r="O106" s="196">
        <v>-5.252155735563105</v>
      </c>
    </row>
    <row r="107" spans="1:15" s="14" customFormat="1" ht="18.75">
      <c r="A107" s="221" t="str">
        <f>INDEX(Lookup!$A$1:$A$126,MATCH(DataYY03!C107,Lookup!$C$1:$C$126,0))</f>
        <v>Elementary School</v>
      </c>
      <c r="B107" s="222" t="s">
        <v>15</v>
      </c>
      <c r="C107" s="193" t="s">
        <v>127</v>
      </c>
      <c r="D107" s="193" t="s">
        <v>21</v>
      </c>
      <c r="E107" s="194">
        <v>91338</v>
      </c>
      <c r="F107" s="195">
        <v>36526</v>
      </c>
      <c r="G107" s="194">
        <v>3948.6939519999996</v>
      </c>
      <c r="H107" s="194">
        <v>3551.973888000001</v>
      </c>
      <c r="I107" s="196">
        <v>-10.046867871313797</v>
      </c>
      <c r="J107" s="197">
        <v>96838.34</v>
      </c>
      <c r="K107" s="197">
        <v>79963.9</v>
      </c>
      <c r="L107" s="198">
        <v>-17.425370984260987</v>
      </c>
      <c r="M107" s="194">
        <v>6057</v>
      </c>
      <c r="N107" s="194">
        <v>5664</v>
      </c>
      <c r="O107" s="196">
        <v>-6.488360574541852</v>
      </c>
    </row>
    <row r="108" spans="1:15" s="14" customFormat="1" ht="18.75">
      <c r="A108" s="221" t="str">
        <f>INDEX(Lookup!$A$1:$A$126,MATCH(DataYY03!C108,Lookup!$C$1:$C$126,0))</f>
        <v>Middle School</v>
      </c>
      <c r="B108" s="222" t="s">
        <v>15</v>
      </c>
      <c r="C108" s="193" t="s">
        <v>128</v>
      </c>
      <c r="D108" s="193" t="s">
        <v>23</v>
      </c>
      <c r="E108" s="194">
        <v>227015</v>
      </c>
      <c r="F108" s="195">
        <v>36526</v>
      </c>
      <c r="G108" s="194">
        <v>5024.64768</v>
      </c>
      <c r="H108" s="194">
        <v>4991.89248</v>
      </c>
      <c r="I108" s="196">
        <v>-0.6518904823989492</v>
      </c>
      <c r="J108" s="197">
        <v>109879.77</v>
      </c>
      <c r="K108" s="197">
        <v>97629.57</v>
      </c>
      <c r="L108" s="198">
        <v>-11.148731017547634</v>
      </c>
      <c r="M108" s="194">
        <v>5509</v>
      </c>
      <c r="N108" s="194">
        <v>5424</v>
      </c>
      <c r="O108" s="196">
        <v>-1.5429297513160285</v>
      </c>
    </row>
    <row r="109" spans="1:15" s="14" customFormat="1" ht="18.75">
      <c r="A109" s="221" t="str">
        <f>INDEX(Lookup!$A$1:$A$126,MATCH(DataYY03!C109,Lookup!$C$1:$C$126,0))</f>
        <v>Middle School</v>
      </c>
      <c r="B109" s="222" t="s">
        <v>15</v>
      </c>
      <c r="C109" s="193" t="s">
        <v>129</v>
      </c>
      <c r="D109" s="193" t="s">
        <v>23</v>
      </c>
      <c r="E109" s="194">
        <v>235889</v>
      </c>
      <c r="F109" s="195">
        <v>36526</v>
      </c>
      <c r="G109" s="194">
        <v>7921.869004</v>
      </c>
      <c r="H109" s="194">
        <v>6808.533404</v>
      </c>
      <c r="I109" s="196">
        <v>-14.053951150136948</v>
      </c>
      <c r="J109" s="197">
        <v>163392.74</v>
      </c>
      <c r="K109" s="197">
        <v>128770.89</v>
      </c>
      <c r="L109" s="198">
        <v>-21.189344153234714</v>
      </c>
      <c r="M109" s="194">
        <v>6620</v>
      </c>
      <c r="N109" s="194">
        <v>6054</v>
      </c>
      <c r="O109" s="196">
        <v>-8.549848942598187</v>
      </c>
    </row>
    <row r="110" spans="1:15" s="14" customFormat="1" ht="18.75">
      <c r="A110" s="221" t="str">
        <f>INDEX(Lookup!$A$1:$A$126,MATCH(DataYY03!C110,Lookup!$C$1:$C$126,0))</f>
        <v>Elementary School</v>
      </c>
      <c r="B110" s="222" t="s">
        <v>15</v>
      </c>
      <c r="C110" s="193" t="s">
        <v>130</v>
      </c>
      <c r="D110" s="193" t="s">
        <v>23</v>
      </c>
      <c r="E110" s="194">
        <v>107914</v>
      </c>
      <c r="F110" s="195">
        <v>36526</v>
      </c>
      <c r="G110" s="194">
        <v>3306.6374399999995</v>
      </c>
      <c r="H110" s="194">
        <v>3399.9897600000004</v>
      </c>
      <c r="I110" s="196">
        <v>2.8231797919762496</v>
      </c>
      <c r="J110" s="197">
        <v>82238.08</v>
      </c>
      <c r="K110" s="197">
        <v>76214.86</v>
      </c>
      <c r="L110" s="198">
        <v>-7.324125271407114</v>
      </c>
      <c r="M110" s="194">
        <v>5032</v>
      </c>
      <c r="N110" s="194">
        <v>5343</v>
      </c>
      <c r="O110" s="196">
        <v>6.180445151033386</v>
      </c>
    </row>
    <row r="111" spans="1:15" s="14" customFormat="1" ht="18.75">
      <c r="A111" s="221" t="str">
        <f>INDEX(Lookup!$A$1:$A$126,MATCH(DataYY03!C111,Lookup!$C$1:$C$126,0))</f>
        <v>Administration</v>
      </c>
      <c r="B111" s="222" t="s">
        <v>15</v>
      </c>
      <c r="C111" s="193" t="s">
        <v>131</v>
      </c>
      <c r="D111" s="193" t="s">
        <v>23</v>
      </c>
      <c r="E111" s="194">
        <v>19649</v>
      </c>
      <c r="F111" s="195">
        <v>36526</v>
      </c>
      <c r="G111" s="194">
        <v>1423.4864000000002</v>
      </c>
      <c r="H111" s="194">
        <v>1142.3375999999998</v>
      </c>
      <c r="I111" s="196">
        <v>-19.75071907957815</v>
      </c>
      <c r="J111" s="197">
        <v>29941.16</v>
      </c>
      <c r="K111" s="197">
        <v>21976.6</v>
      </c>
      <c r="L111" s="198">
        <v>-26.600706185064304</v>
      </c>
      <c r="M111" s="194">
        <v>1418</v>
      </c>
      <c r="N111" s="194">
        <v>1186</v>
      </c>
      <c r="O111" s="196">
        <v>-16.361071932299012</v>
      </c>
    </row>
    <row r="112" spans="1:15" s="14" customFormat="1" ht="18.75">
      <c r="A112" s="221" t="str">
        <f>INDEX(Lookup!$A$1:$A$126,MATCH(DataYY03!C112,Lookup!$C$1:$C$126,0))</f>
        <v>Middle School</v>
      </c>
      <c r="B112" s="222" t="s">
        <v>15</v>
      </c>
      <c r="C112" s="193" t="s">
        <v>132</v>
      </c>
      <c r="D112" s="193" t="s">
        <v>21</v>
      </c>
      <c r="E112" s="194">
        <v>194432</v>
      </c>
      <c r="F112" s="195">
        <v>36526</v>
      </c>
      <c r="G112" s="194">
        <v>7804.131120000001</v>
      </c>
      <c r="H112" s="194">
        <v>6809.440995999999</v>
      </c>
      <c r="I112" s="196">
        <v>-12.745686979180343</v>
      </c>
      <c r="J112" s="197">
        <v>170565.61</v>
      </c>
      <c r="K112" s="197">
        <v>137991.7</v>
      </c>
      <c r="L112" s="198">
        <v>-19.09758362192707</v>
      </c>
      <c r="M112" s="194">
        <v>7446</v>
      </c>
      <c r="N112" s="194">
        <v>8146</v>
      </c>
      <c r="O112" s="196">
        <v>9.4010206822455</v>
      </c>
    </row>
    <row r="113" spans="1:15" s="14" customFormat="1" ht="18.75">
      <c r="A113" s="221" t="str">
        <f>INDEX(Lookup!$A$1:$A$126,MATCH(DataYY03!C113,Lookup!$C$1:$C$126,0))</f>
        <v>Elementary School</v>
      </c>
      <c r="B113" s="222" t="s">
        <v>15</v>
      </c>
      <c r="C113" s="193" t="s">
        <v>133</v>
      </c>
      <c r="D113" s="193" t="s">
        <v>17</v>
      </c>
      <c r="E113" s="194">
        <v>101727</v>
      </c>
      <c r="F113" s="195">
        <v>36526</v>
      </c>
      <c r="G113" s="194">
        <v>3900.758764</v>
      </c>
      <c r="H113" s="194">
        <v>3730.564792</v>
      </c>
      <c r="I113" s="196">
        <v>-4.363099137806617</v>
      </c>
      <c r="J113" s="197">
        <v>91560.4</v>
      </c>
      <c r="K113" s="197">
        <v>84275.34</v>
      </c>
      <c r="L113" s="198">
        <v>-7.956562007155932</v>
      </c>
      <c r="M113" s="194">
        <v>4993</v>
      </c>
      <c r="N113" s="194">
        <v>4835</v>
      </c>
      <c r="O113" s="196">
        <v>-3.1644302022831967</v>
      </c>
    </row>
    <row r="114" spans="1:15" s="14" customFormat="1" ht="18.75">
      <c r="A114" s="221" t="str">
        <f>INDEX(Lookup!$A$1:$A$126,MATCH(DataYY03!C114,Lookup!$C$1:$C$126,0))</f>
        <v>Middle School</v>
      </c>
      <c r="B114" s="222" t="s">
        <v>15</v>
      </c>
      <c r="C114" s="193" t="s">
        <v>134</v>
      </c>
      <c r="D114" s="193" t="s">
        <v>17</v>
      </c>
      <c r="E114" s="194">
        <v>208340</v>
      </c>
      <c r="F114" s="195">
        <v>36526</v>
      </c>
      <c r="G114" s="194">
        <v>6282.150516</v>
      </c>
      <c r="H114" s="194">
        <v>5712.8822</v>
      </c>
      <c r="I114" s="196">
        <v>-9.061679030932668</v>
      </c>
      <c r="J114" s="197">
        <v>140376.25</v>
      </c>
      <c r="K114" s="197">
        <v>118766.51</v>
      </c>
      <c r="L114" s="198">
        <v>-15.394156775095503</v>
      </c>
      <c r="M114" s="194">
        <v>8062</v>
      </c>
      <c r="N114" s="194">
        <v>7002</v>
      </c>
      <c r="O114" s="196">
        <v>-13.148102207888861</v>
      </c>
    </row>
    <row r="115" spans="1:15" s="14" customFormat="1" ht="18.75">
      <c r="A115" s="221" t="str">
        <f>INDEX(Lookup!$A$1:$A$126,MATCH(DataYY03!C115,Lookup!$C$1:$C$126,0))</f>
        <v>Elementary School</v>
      </c>
      <c r="B115" s="222" t="s">
        <v>15</v>
      </c>
      <c r="C115" s="193" t="s">
        <v>135</v>
      </c>
      <c r="D115" s="193" t="s">
        <v>21</v>
      </c>
      <c r="E115" s="194">
        <v>98490</v>
      </c>
      <c r="F115" s="195">
        <v>36526</v>
      </c>
      <c r="G115" s="194">
        <v>3750.1292</v>
      </c>
      <c r="H115" s="194">
        <v>3988.819072</v>
      </c>
      <c r="I115" s="196">
        <v>6.364843963242646</v>
      </c>
      <c r="J115" s="197">
        <v>90727.38</v>
      </c>
      <c r="K115" s="197">
        <v>85520.81</v>
      </c>
      <c r="L115" s="198">
        <v>-5.738697623583972</v>
      </c>
      <c r="M115" s="194">
        <v>5108</v>
      </c>
      <c r="N115" s="194">
        <v>4526</v>
      </c>
      <c r="O115" s="196">
        <v>-11.39389193422083</v>
      </c>
    </row>
    <row r="116" spans="1:15" s="14" customFormat="1" ht="18.75">
      <c r="A116" s="221" t="str">
        <f>INDEX(Lookup!$A$1:$A$126,MATCH(DataYY03!C116,Lookup!$C$1:$C$126,0))</f>
        <v>Elementary School</v>
      </c>
      <c r="B116" s="222" t="s">
        <v>15</v>
      </c>
      <c r="C116" s="193" t="s">
        <v>136</v>
      </c>
      <c r="D116" s="193" t="s">
        <v>23</v>
      </c>
      <c r="E116" s="194">
        <v>99987</v>
      </c>
      <c r="F116" s="195">
        <v>36526</v>
      </c>
      <c r="G116" s="194">
        <v>2562.470004</v>
      </c>
      <c r="H116" s="194">
        <v>2247.9859640000004</v>
      </c>
      <c r="I116" s="196">
        <v>-12.27269156357311</v>
      </c>
      <c r="J116" s="197">
        <v>55728.9</v>
      </c>
      <c r="K116" s="197">
        <v>45703.23</v>
      </c>
      <c r="L116" s="198">
        <v>-17.990073373061374</v>
      </c>
      <c r="M116" s="194">
        <v>2759</v>
      </c>
      <c r="N116" s="194">
        <v>2671</v>
      </c>
      <c r="O116" s="196">
        <v>-3.189561435302646</v>
      </c>
    </row>
    <row r="117" spans="1:15" s="14" customFormat="1" ht="18.75">
      <c r="A117" s="221" t="str">
        <f>INDEX(Lookup!$A$1:$A$126,MATCH(DataYY03!C117,Lookup!$C$1:$C$126,0))</f>
        <v>Middle School</v>
      </c>
      <c r="B117" s="222" t="s">
        <v>15</v>
      </c>
      <c r="C117" s="193" t="s">
        <v>137</v>
      </c>
      <c r="D117" s="193" t="s">
        <v>17</v>
      </c>
      <c r="E117" s="194">
        <v>217165</v>
      </c>
      <c r="F117" s="195">
        <v>36526</v>
      </c>
      <c r="G117" s="194">
        <v>6383.875884000001</v>
      </c>
      <c r="H117" s="194">
        <v>6411.953231999999</v>
      </c>
      <c r="I117" s="196">
        <v>0.43981663350266714</v>
      </c>
      <c r="J117" s="197">
        <v>148555.75</v>
      </c>
      <c r="K117" s="197">
        <v>133568.54</v>
      </c>
      <c r="L117" s="198">
        <v>-10.088609831662524</v>
      </c>
      <c r="M117" s="194">
        <v>7552</v>
      </c>
      <c r="N117" s="194">
        <v>8020</v>
      </c>
      <c r="O117" s="196">
        <v>6.197033898305085</v>
      </c>
    </row>
    <row r="118" spans="1:15" s="14" customFormat="1" ht="18.75">
      <c r="A118" s="221" t="str">
        <f>INDEX(Lookup!$A$1:$A$126,MATCH(DataYY03!C118,Lookup!$C$1:$C$126,0))</f>
        <v>Elementary School</v>
      </c>
      <c r="B118" s="222" t="s">
        <v>15</v>
      </c>
      <c r="C118" s="193" t="s">
        <v>138</v>
      </c>
      <c r="D118" s="193" t="s">
        <v>23</v>
      </c>
      <c r="E118" s="194">
        <v>122878</v>
      </c>
      <c r="F118" s="195">
        <v>36526</v>
      </c>
      <c r="G118" s="194">
        <v>3458.94912</v>
      </c>
      <c r="H118" s="194">
        <v>3442.5715200000004</v>
      </c>
      <c r="I118" s="196">
        <v>-0.47348484848483435</v>
      </c>
      <c r="J118" s="197">
        <v>88402.46</v>
      </c>
      <c r="K118" s="197">
        <v>78349.03</v>
      </c>
      <c r="L118" s="198">
        <v>-11.372341900892803</v>
      </c>
      <c r="M118" s="194">
        <v>5702</v>
      </c>
      <c r="N118" s="194">
        <v>5262</v>
      </c>
      <c r="O118" s="196">
        <v>-7.716590669940372</v>
      </c>
    </row>
    <row r="119" spans="1:15" s="14" customFormat="1" ht="18.75">
      <c r="A119" s="221" t="str">
        <f>INDEX(Lookup!$A$1:$A$126,MATCH(DataYY03!C119,Lookup!$C$1:$C$126,0))</f>
        <v>Administration</v>
      </c>
      <c r="B119" s="222" t="s">
        <v>15</v>
      </c>
      <c r="C119" s="193" t="s">
        <v>139</v>
      </c>
      <c r="D119" s="193" t="s">
        <v>23</v>
      </c>
      <c r="E119" s="194">
        <v>20124</v>
      </c>
      <c r="F119" s="195">
        <v>36526</v>
      </c>
      <c r="G119" s="194">
        <v>404.19916800000004</v>
      </c>
      <c r="H119" s="194">
        <v>349.825536</v>
      </c>
      <c r="I119" s="196">
        <v>-13.452188006482997</v>
      </c>
      <c r="J119" s="197">
        <v>8886.45</v>
      </c>
      <c r="K119" s="197">
        <v>7033.83</v>
      </c>
      <c r="L119" s="198">
        <v>-20.847695086339314</v>
      </c>
      <c r="M119" s="194">
        <v>434</v>
      </c>
      <c r="N119" s="194">
        <v>390</v>
      </c>
      <c r="O119" s="196">
        <v>-10.138248847926267</v>
      </c>
    </row>
    <row r="120" spans="1:15" s="14" customFormat="1" ht="18.75">
      <c r="A120" s="221" t="str">
        <f>INDEX(Lookup!$A$1:$A$126,MATCH(DataYY03!C120,Lookup!$C$1:$C$126,0))</f>
        <v>Administration</v>
      </c>
      <c r="B120" s="222" t="s">
        <v>15</v>
      </c>
      <c r="C120" s="193" t="s">
        <v>140</v>
      </c>
      <c r="D120" s="193" t="s">
        <v>23</v>
      </c>
      <c r="E120" s="194">
        <v>45340</v>
      </c>
      <c r="F120" s="195">
        <v>36526</v>
      </c>
      <c r="G120" s="194">
        <v>1802.9826879999998</v>
      </c>
      <c r="H120" s="194">
        <v>1842.1524479999998</v>
      </c>
      <c r="I120" s="196">
        <v>2.1724978426415125</v>
      </c>
      <c r="J120" s="197">
        <v>37079.03</v>
      </c>
      <c r="K120" s="197">
        <v>34122.65</v>
      </c>
      <c r="L120" s="198">
        <v>-7.973185922069698</v>
      </c>
      <c r="M120" s="194">
        <v>1589</v>
      </c>
      <c r="N120" s="194">
        <v>1744</v>
      </c>
      <c r="O120" s="196">
        <v>9.754562617998742</v>
      </c>
    </row>
    <row r="121" spans="1:15" s="14" customFormat="1" ht="18.75">
      <c r="A121" s="221" t="str">
        <f>INDEX(Lookup!$A$1:$A$126,MATCH(DataYY03!C121,Lookup!$C$1:$C$126,0))</f>
        <v>Elementary School</v>
      </c>
      <c r="B121" s="222" t="s">
        <v>15</v>
      </c>
      <c r="C121" s="193" t="s">
        <v>141</v>
      </c>
      <c r="D121" s="193" t="s">
        <v>17</v>
      </c>
      <c r="E121" s="194">
        <v>89993</v>
      </c>
      <c r="F121" s="195">
        <v>36526</v>
      </c>
      <c r="G121" s="194">
        <v>2700.3386880000007</v>
      </c>
      <c r="H121" s="194">
        <v>2733.748992</v>
      </c>
      <c r="I121" s="196">
        <v>1.237263464337674</v>
      </c>
      <c r="J121" s="197">
        <v>66767.25</v>
      </c>
      <c r="K121" s="197">
        <v>60113.63</v>
      </c>
      <c r="L121" s="198">
        <v>-9.965394710730186</v>
      </c>
      <c r="M121" s="194">
        <v>3965</v>
      </c>
      <c r="N121" s="194">
        <v>3934</v>
      </c>
      <c r="O121" s="196">
        <v>-0.7818411097099621</v>
      </c>
    </row>
    <row r="122" spans="1:15" s="14" customFormat="1" ht="18.75">
      <c r="A122" s="221" t="str">
        <f>INDEX(Lookup!$A$1:$A$126,MATCH(DataYY03!C122,Lookup!$C$1:$C$126,0))</f>
        <v>Elementary School</v>
      </c>
      <c r="B122" s="222" t="s">
        <v>15</v>
      </c>
      <c r="C122" s="193" t="s">
        <v>142</v>
      </c>
      <c r="D122" s="193" t="s">
        <v>17</v>
      </c>
      <c r="E122" s="194">
        <v>84992</v>
      </c>
      <c r="F122" s="195">
        <v>36526</v>
      </c>
      <c r="G122" s="194">
        <v>2825.4635519999997</v>
      </c>
      <c r="H122" s="194">
        <v>2950.588416</v>
      </c>
      <c r="I122" s="196">
        <v>4.428472061210293</v>
      </c>
      <c r="J122" s="197">
        <v>73898.28</v>
      </c>
      <c r="K122" s="197">
        <v>69315.83</v>
      </c>
      <c r="L122" s="198">
        <v>-6.201023893925542</v>
      </c>
      <c r="M122" s="194">
        <v>4995</v>
      </c>
      <c r="N122" s="194">
        <v>5259</v>
      </c>
      <c r="O122" s="196">
        <v>5.285285285285286</v>
      </c>
    </row>
    <row r="123" spans="1:15" s="14" customFormat="1" ht="18.75">
      <c r="A123" s="221" t="str">
        <f>INDEX(Lookup!$A$1:$A$126,MATCH(DataYY03!C123,Lookup!$C$1:$C$126,0))</f>
        <v>Special School</v>
      </c>
      <c r="B123" s="222" t="s">
        <v>15</v>
      </c>
      <c r="C123" s="193" t="s">
        <v>143</v>
      </c>
      <c r="D123" s="193" t="s">
        <v>17</v>
      </c>
      <c r="E123" s="194">
        <v>41975</v>
      </c>
      <c r="F123" s="195">
        <v>36526</v>
      </c>
      <c r="G123" s="194">
        <v>2511.668736</v>
      </c>
      <c r="H123" s="194">
        <v>2469.74208</v>
      </c>
      <c r="I123" s="196">
        <v>-1.6692749087115197</v>
      </c>
      <c r="J123" s="197">
        <v>57495.28</v>
      </c>
      <c r="K123" s="197">
        <v>50413.11</v>
      </c>
      <c r="L123" s="198">
        <v>-12.31782852435887</v>
      </c>
      <c r="M123" s="194">
        <v>2952</v>
      </c>
      <c r="N123" s="194">
        <v>3071</v>
      </c>
      <c r="O123" s="196">
        <v>4.031165311653116</v>
      </c>
    </row>
    <row r="124" spans="1:15" s="13" customFormat="1" ht="18.75">
      <c r="A124" s="221" t="str">
        <f>INDEX(Lookup!$A$1:$A$126,MATCH(DataYY03!C124,Lookup!$C$1:$C$126,0))</f>
        <v>Special School</v>
      </c>
      <c r="B124" s="222" t="s">
        <v>15</v>
      </c>
      <c r="C124" s="193" t="s">
        <v>144</v>
      </c>
      <c r="D124" s="193" t="s">
        <v>17</v>
      </c>
      <c r="E124" s="194">
        <v>50022</v>
      </c>
      <c r="F124" s="195">
        <v>36526</v>
      </c>
      <c r="G124" s="194">
        <v>2033.4428159999995</v>
      </c>
      <c r="H124" s="194">
        <v>1943.0043439999997</v>
      </c>
      <c r="I124" s="196">
        <v>-4.447554231099652</v>
      </c>
      <c r="J124" s="197">
        <v>55557.07</v>
      </c>
      <c r="K124" s="197">
        <v>47721.41</v>
      </c>
      <c r="L124" s="198">
        <v>-14.103803530315764</v>
      </c>
      <c r="M124" s="194">
        <v>3925</v>
      </c>
      <c r="N124" s="194">
        <v>3756</v>
      </c>
      <c r="O124" s="196">
        <v>-4.305732484076433</v>
      </c>
    </row>
    <row r="125" spans="1:15" s="13" customFormat="1" ht="18.75">
      <c r="A125" s="221" t="str">
        <f>INDEX(Lookup!$A$1:$A$126,MATCH(DataYY03!C125,Lookup!$C$1:$C$126,0))</f>
        <v>Elementary School</v>
      </c>
      <c r="B125" s="222" t="s">
        <v>15</v>
      </c>
      <c r="C125" s="193" t="s">
        <v>145</v>
      </c>
      <c r="D125" s="193" t="s">
        <v>23</v>
      </c>
      <c r="E125" s="194">
        <v>115438</v>
      </c>
      <c r="F125" s="195">
        <v>36526</v>
      </c>
      <c r="G125" s="194">
        <v>3274.7011200000006</v>
      </c>
      <c r="H125" s="194">
        <v>3323.8339200000005</v>
      </c>
      <c r="I125" s="196">
        <v>1.5003750937734335</v>
      </c>
      <c r="J125" s="197">
        <v>83255.41</v>
      </c>
      <c r="K125" s="197">
        <v>78771.31</v>
      </c>
      <c r="L125" s="198">
        <v>-5.38595630001702</v>
      </c>
      <c r="M125" s="194">
        <v>5745</v>
      </c>
      <c r="N125" s="194">
        <v>5688</v>
      </c>
      <c r="O125" s="196">
        <v>-0.9921671018276763</v>
      </c>
    </row>
    <row r="126" spans="1:15" s="13" customFormat="1" ht="18.75">
      <c r="A126" s="221" t="str">
        <f>INDEX(Lookup!$A$1:$A$126,MATCH(DataYY03!C126,Lookup!$C$1:$C$126,0))</f>
        <v>Elementary School</v>
      </c>
      <c r="B126" s="222" t="s">
        <v>15</v>
      </c>
      <c r="C126" s="193" t="s">
        <v>146</v>
      </c>
      <c r="D126" s="193" t="s">
        <v>17</v>
      </c>
      <c r="E126" s="194">
        <v>81794</v>
      </c>
      <c r="F126" s="195">
        <v>36526</v>
      </c>
      <c r="G126" s="194">
        <v>3251.6087039999998</v>
      </c>
      <c r="H126" s="194">
        <v>3193.6319999999996</v>
      </c>
      <c r="I126" s="196">
        <v>-1.783016016923543</v>
      </c>
      <c r="J126" s="197">
        <v>84403.23</v>
      </c>
      <c r="K126" s="197">
        <v>75335.26</v>
      </c>
      <c r="L126" s="198">
        <v>-10.743629124146077</v>
      </c>
      <c r="M126" s="194">
        <v>5452</v>
      </c>
      <c r="N126" s="194">
        <v>5496</v>
      </c>
      <c r="O126" s="196">
        <v>0.8070432868672047</v>
      </c>
    </row>
    <row r="127" spans="1:15" ht="18.75">
      <c r="A127" s="221" t="str">
        <f>INDEX(Lookup!$A$1:$A$126,MATCH(DataYY03!C127,Lookup!$C$1:$C$126,0))</f>
        <v>Elementary School</v>
      </c>
      <c r="B127" s="223" t="s">
        <v>148</v>
      </c>
      <c r="C127" s="199" t="s">
        <v>16</v>
      </c>
      <c r="D127" s="199" t="s">
        <v>17</v>
      </c>
      <c r="E127" s="200">
        <v>109321</v>
      </c>
      <c r="F127" s="201">
        <v>36526</v>
      </c>
      <c r="G127" s="200">
        <v>0</v>
      </c>
      <c r="H127" s="200">
        <v>0</v>
      </c>
      <c r="I127" s="202">
        <v>0</v>
      </c>
      <c r="J127" s="203">
        <v>21609.7</v>
      </c>
      <c r="K127" s="203">
        <v>12293.76</v>
      </c>
      <c r="L127" s="204">
        <v>-43.109992271988965</v>
      </c>
      <c r="M127" s="200">
        <v>0</v>
      </c>
      <c r="N127" s="200">
        <v>0</v>
      </c>
      <c r="O127" s="202">
        <v>0</v>
      </c>
    </row>
    <row r="128" spans="1:15" ht="18.75">
      <c r="A128" s="221" t="str">
        <f>INDEX(Lookup!$A$1:$A$126,MATCH(DataYY03!C128,Lookup!$C$1:$C$126,0))</f>
        <v>Special School</v>
      </c>
      <c r="B128" s="224" t="s">
        <v>148</v>
      </c>
      <c r="C128" s="199" t="s">
        <v>20</v>
      </c>
      <c r="D128" s="199" t="s">
        <v>21</v>
      </c>
      <c r="E128" s="200">
        <v>50839</v>
      </c>
      <c r="F128" s="201">
        <v>36526</v>
      </c>
      <c r="G128" s="200">
        <v>0</v>
      </c>
      <c r="H128" s="200">
        <v>0</v>
      </c>
      <c r="I128" s="202">
        <v>0</v>
      </c>
      <c r="J128" s="203">
        <v>5086.75</v>
      </c>
      <c r="K128" s="203">
        <v>4941.8</v>
      </c>
      <c r="L128" s="204">
        <v>-2.849560131714749</v>
      </c>
      <c r="M128" s="200">
        <v>0</v>
      </c>
      <c r="N128" s="200">
        <v>0</v>
      </c>
      <c r="O128" s="202">
        <v>0</v>
      </c>
    </row>
    <row r="129" spans="1:15" ht="18.75">
      <c r="A129" s="221" t="str">
        <f>INDEX(Lookup!$A$1:$A$126,MATCH(DataYY03!C129,Lookup!$C$1:$C$126,0))</f>
        <v>Elementary School</v>
      </c>
      <c r="B129" s="223" t="s">
        <v>148</v>
      </c>
      <c r="C129" s="199" t="s">
        <v>22</v>
      </c>
      <c r="D129" s="199" t="s">
        <v>23</v>
      </c>
      <c r="E129" s="200">
        <v>107836</v>
      </c>
      <c r="F129" s="201">
        <v>36526</v>
      </c>
      <c r="G129" s="200">
        <v>0</v>
      </c>
      <c r="H129" s="200">
        <v>0</v>
      </c>
      <c r="I129" s="202">
        <v>0</v>
      </c>
      <c r="J129" s="203">
        <v>15518.77</v>
      </c>
      <c r="K129" s="203">
        <v>33521.58</v>
      </c>
      <c r="L129" s="204">
        <v>116.00668094185299</v>
      </c>
      <c r="M129" s="200">
        <v>0</v>
      </c>
      <c r="N129" s="200">
        <v>0</v>
      </c>
      <c r="O129" s="202">
        <v>0</v>
      </c>
    </row>
    <row r="130" spans="1:15" ht="18.75">
      <c r="A130" s="221" t="str">
        <f>INDEX(Lookup!$A$1:$A$126,MATCH(DataYY03!C130,Lookup!$C$1:$C$126,0))</f>
        <v>Middle School</v>
      </c>
      <c r="B130" s="224" t="s">
        <v>148</v>
      </c>
      <c r="C130" s="199" t="s">
        <v>25</v>
      </c>
      <c r="D130" s="199" t="s">
        <v>23</v>
      </c>
      <c r="E130" s="200">
        <v>244123</v>
      </c>
      <c r="F130" s="201">
        <v>36526</v>
      </c>
      <c r="G130" s="200">
        <v>0</v>
      </c>
      <c r="H130" s="200">
        <v>0</v>
      </c>
      <c r="I130" s="202">
        <v>0</v>
      </c>
      <c r="J130" s="203">
        <v>49822.76</v>
      </c>
      <c r="K130" s="203">
        <v>54586.73</v>
      </c>
      <c r="L130" s="204">
        <v>9.561834791970577</v>
      </c>
      <c r="M130" s="200">
        <v>0</v>
      </c>
      <c r="N130" s="200">
        <v>0</v>
      </c>
      <c r="O130" s="202">
        <v>0</v>
      </c>
    </row>
    <row r="131" spans="1:15" ht="18.75">
      <c r="A131" s="221" t="str">
        <f>INDEX(Lookup!$A$1:$A$126,MATCH(DataYY03!C131,Lookup!$C$1:$C$126,0))</f>
        <v>Middle School</v>
      </c>
      <c r="B131" s="223" t="s">
        <v>148</v>
      </c>
      <c r="C131" s="199" t="s">
        <v>26</v>
      </c>
      <c r="D131" s="199" t="s">
        <v>17</v>
      </c>
      <c r="E131" s="200">
        <v>219821</v>
      </c>
      <c r="F131" s="201">
        <v>36526</v>
      </c>
      <c r="G131" s="200">
        <v>0</v>
      </c>
      <c r="H131" s="200">
        <v>0</v>
      </c>
      <c r="I131" s="202">
        <v>0</v>
      </c>
      <c r="J131" s="203">
        <v>22767.12</v>
      </c>
      <c r="K131" s="203">
        <v>28444.25</v>
      </c>
      <c r="L131" s="204">
        <v>24.93565281862616</v>
      </c>
      <c r="M131" s="200">
        <v>0</v>
      </c>
      <c r="N131" s="200">
        <v>0</v>
      </c>
      <c r="O131" s="202">
        <v>0</v>
      </c>
    </row>
    <row r="132" spans="1:15" ht="18.75">
      <c r="A132" s="221" t="str">
        <f>INDEX(Lookup!$A$1:$A$126,MATCH(DataYY03!C132,Lookup!$C$1:$C$126,0))</f>
        <v>Elementary School</v>
      </c>
      <c r="B132" s="224" t="s">
        <v>148</v>
      </c>
      <c r="C132" s="199" t="s">
        <v>28</v>
      </c>
      <c r="D132" s="199" t="s">
        <v>23</v>
      </c>
      <c r="E132" s="200">
        <v>89416</v>
      </c>
      <c r="F132" s="201">
        <v>36526</v>
      </c>
      <c r="G132" s="200">
        <v>0</v>
      </c>
      <c r="H132" s="200">
        <v>0</v>
      </c>
      <c r="I132" s="202">
        <v>0</v>
      </c>
      <c r="J132" s="203">
        <v>7726.2</v>
      </c>
      <c r="K132" s="203">
        <v>14095.35</v>
      </c>
      <c r="L132" s="204">
        <v>82.435738137765</v>
      </c>
      <c r="M132" s="200">
        <v>0</v>
      </c>
      <c r="N132" s="200">
        <v>0</v>
      </c>
      <c r="O132" s="202">
        <v>0</v>
      </c>
    </row>
    <row r="133" spans="1:15" ht="18.75">
      <c r="A133" s="221" t="str">
        <f>INDEX(Lookup!$A$1:$A$126,MATCH(DataYY03!C133,Lookup!$C$1:$C$126,0))</f>
        <v>Elementary School</v>
      </c>
      <c r="B133" s="223" t="s">
        <v>148</v>
      </c>
      <c r="C133" s="199" t="s">
        <v>29</v>
      </c>
      <c r="D133" s="199" t="s">
        <v>17</v>
      </c>
      <c r="E133" s="200">
        <v>106804</v>
      </c>
      <c r="F133" s="201">
        <v>36526</v>
      </c>
      <c r="G133" s="200">
        <v>0</v>
      </c>
      <c r="H133" s="200">
        <v>0</v>
      </c>
      <c r="I133" s="202">
        <v>0</v>
      </c>
      <c r="J133" s="203">
        <v>20055.75</v>
      </c>
      <c r="K133" s="203">
        <v>16659.47</v>
      </c>
      <c r="L133" s="204">
        <v>-16.934195928848336</v>
      </c>
      <c r="M133" s="200">
        <v>0</v>
      </c>
      <c r="N133" s="200">
        <v>0</v>
      </c>
      <c r="O133" s="202">
        <v>0</v>
      </c>
    </row>
    <row r="134" spans="1:15" ht="18.75">
      <c r="A134" s="221" t="str">
        <f>INDEX(Lookup!$A$1:$A$126,MATCH(DataYY03!C134,Lookup!$C$1:$C$126,0))</f>
        <v>Elementary School</v>
      </c>
      <c r="B134" s="224" t="s">
        <v>148</v>
      </c>
      <c r="C134" s="199" t="s">
        <v>30</v>
      </c>
      <c r="D134" s="199" t="s">
        <v>17</v>
      </c>
      <c r="E134" s="200">
        <v>87777</v>
      </c>
      <c r="F134" s="201">
        <v>43952</v>
      </c>
      <c r="G134" s="200">
        <v>0</v>
      </c>
      <c r="H134" s="200">
        <v>0</v>
      </c>
      <c r="I134" s="202">
        <v>0</v>
      </c>
      <c r="J134" s="203">
        <v>22156.81</v>
      </c>
      <c r="K134" s="203">
        <v>19080.8</v>
      </c>
      <c r="L134" s="204">
        <v>-13.882910039847793</v>
      </c>
      <c r="M134" s="200">
        <v>0</v>
      </c>
      <c r="N134" s="200">
        <v>0</v>
      </c>
      <c r="O134" s="202">
        <v>0</v>
      </c>
    </row>
    <row r="135" spans="1:15" ht="18.75">
      <c r="A135" s="221" t="str">
        <f>INDEX(Lookup!$A$1:$A$126,MATCH(DataYY03!C135,Lookup!$C$1:$C$126,0))</f>
        <v>Administration</v>
      </c>
      <c r="B135" s="223" t="s">
        <v>148</v>
      </c>
      <c r="C135" s="199" t="s">
        <v>32</v>
      </c>
      <c r="D135" s="199" t="s">
        <v>17</v>
      </c>
      <c r="E135" s="200">
        <v>22677</v>
      </c>
      <c r="F135" s="201">
        <v>36526</v>
      </c>
      <c r="G135" s="200">
        <v>0</v>
      </c>
      <c r="H135" s="200">
        <v>0</v>
      </c>
      <c r="I135" s="202">
        <v>0</v>
      </c>
      <c r="J135" s="203">
        <v>5020.87</v>
      </c>
      <c r="K135" s="203">
        <v>7803.25</v>
      </c>
      <c r="L135" s="204">
        <v>55.416292395541014</v>
      </c>
      <c r="M135" s="200">
        <v>0</v>
      </c>
      <c r="N135" s="200">
        <v>0</v>
      </c>
      <c r="O135" s="202">
        <v>0</v>
      </c>
    </row>
    <row r="136" spans="1:15" ht="18.75">
      <c r="A136" s="221" t="str">
        <f>INDEX(Lookup!$A$1:$A$126,MATCH(DataYY03!C136,Lookup!$C$1:$C$126,0))</f>
        <v>Administration</v>
      </c>
      <c r="B136" s="224" t="s">
        <v>148</v>
      </c>
      <c r="C136" s="199" t="s">
        <v>33</v>
      </c>
      <c r="D136" s="199" t="s">
        <v>23</v>
      </c>
      <c r="E136" s="200">
        <v>491434</v>
      </c>
      <c r="F136" s="201">
        <v>36526</v>
      </c>
      <c r="G136" s="200">
        <v>0</v>
      </c>
      <c r="H136" s="200">
        <v>0</v>
      </c>
      <c r="I136" s="202">
        <v>0</v>
      </c>
      <c r="J136" s="203">
        <v>82055.62</v>
      </c>
      <c r="K136" s="203">
        <v>72348.17</v>
      </c>
      <c r="L136" s="204">
        <v>-11.830329232781374</v>
      </c>
      <c r="M136" s="200">
        <v>0</v>
      </c>
      <c r="N136" s="200">
        <v>0</v>
      </c>
      <c r="O136" s="202">
        <v>0</v>
      </c>
    </row>
    <row r="137" spans="1:15" ht="18.75">
      <c r="A137" s="221" t="str">
        <f>INDEX(Lookup!$A$1:$A$126,MATCH(DataYY03!C137,Lookup!$C$1:$C$126,0))</f>
        <v>Elementary School</v>
      </c>
      <c r="B137" s="223" t="s">
        <v>148</v>
      </c>
      <c r="C137" s="199" t="s">
        <v>34</v>
      </c>
      <c r="D137" s="199" t="s">
        <v>17</v>
      </c>
      <c r="E137" s="200">
        <v>106488</v>
      </c>
      <c r="F137" s="201">
        <v>36526</v>
      </c>
      <c r="G137" s="200">
        <v>0</v>
      </c>
      <c r="H137" s="200">
        <v>0</v>
      </c>
      <c r="I137" s="202">
        <v>0</v>
      </c>
      <c r="J137" s="203">
        <v>18869.62</v>
      </c>
      <c r="K137" s="203">
        <v>17257.55</v>
      </c>
      <c r="L137" s="204">
        <v>-8.543203307750765</v>
      </c>
      <c r="M137" s="200">
        <v>0</v>
      </c>
      <c r="N137" s="200">
        <v>0</v>
      </c>
      <c r="O137" s="202">
        <v>0</v>
      </c>
    </row>
    <row r="138" spans="1:15" ht="18.75">
      <c r="A138" s="221" t="str">
        <f>INDEX(Lookup!$A$1:$A$126,MATCH(DataYY03!C138,Lookup!$C$1:$C$126,0))</f>
        <v>Elementary School</v>
      </c>
      <c r="B138" s="224" t="s">
        <v>148</v>
      </c>
      <c r="C138" s="199" t="s">
        <v>35</v>
      </c>
      <c r="D138" s="199" t="s">
        <v>23</v>
      </c>
      <c r="E138" s="200">
        <v>98920</v>
      </c>
      <c r="F138" s="201">
        <v>43952</v>
      </c>
      <c r="G138" s="200">
        <v>0</v>
      </c>
      <c r="H138" s="200">
        <v>0</v>
      </c>
      <c r="I138" s="202">
        <v>0</v>
      </c>
      <c r="J138" s="203">
        <v>26545.04</v>
      </c>
      <c r="K138" s="203">
        <v>31185.28</v>
      </c>
      <c r="L138" s="204">
        <v>17.480629149551103</v>
      </c>
      <c r="M138" s="200">
        <v>0</v>
      </c>
      <c r="N138" s="200">
        <v>0</v>
      </c>
      <c r="O138" s="202">
        <v>0</v>
      </c>
    </row>
    <row r="139" spans="1:15" ht="18.75">
      <c r="A139" s="221" t="str">
        <f>INDEX(Lookup!$A$1:$A$126,MATCH(DataYY03!C139,Lookup!$C$1:$C$126,0))</f>
        <v>Middle School</v>
      </c>
      <c r="B139" s="223" t="s">
        <v>148</v>
      </c>
      <c r="C139" s="199" t="s">
        <v>36</v>
      </c>
      <c r="D139" s="199" t="s">
        <v>17</v>
      </c>
      <c r="E139" s="200">
        <v>229363</v>
      </c>
      <c r="F139" s="201">
        <v>36526</v>
      </c>
      <c r="G139" s="200">
        <v>0</v>
      </c>
      <c r="H139" s="200">
        <v>0</v>
      </c>
      <c r="I139" s="202">
        <v>0</v>
      </c>
      <c r="J139" s="203">
        <v>21455.9</v>
      </c>
      <c r="K139" s="203">
        <v>21496.48</v>
      </c>
      <c r="L139" s="204">
        <v>0.18913212682758587</v>
      </c>
      <c r="M139" s="200">
        <v>0</v>
      </c>
      <c r="N139" s="200">
        <v>0</v>
      </c>
      <c r="O139" s="202">
        <v>0</v>
      </c>
    </row>
    <row r="140" spans="1:15" ht="18.75">
      <c r="A140" s="221" t="str">
        <f>INDEX(Lookup!$A$1:$A$126,MATCH(DataYY03!C140,Lookup!$C$1:$C$126,0))</f>
        <v>Administration</v>
      </c>
      <c r="B140" s="224" t="s">
        <v>148</v>
      </c>
      <c r="C140" s="199" t="s">
        <v>37</v>
      </c>
      <c r="D140" s="199" t="s">
        <v>23</v>
      </c>
      <c r="E140" s="200">
        <v>19680</v>
      </c>
      <c r="F140" s="201">
        <v>43952</v>
      </c>
      <c r="G140" s="200">
        <v>0</v>
      </c>
      <c r="H140" s="200">
        <v>0</v>
      </c>
      <c r="I140" s="202">
        <v>0</v>
      </c>
      <c r="J140" s="203">
        <v>787.95</v>
      </c>
      <c r="K140" s="203">
        <v>1444.1</v>
      </c>
      <c r="L140" s="204">
        <v>83.2730503204518</v>
      </c>
      <c r="M140" s="200">
        <v>0</v>
      </c>
      <c r="N140" s="200">
        <v>0</v>
      </c>
      <c r="O140" s="202">
        <v>0</v>
      </c>
    </row>
    <row r="141" spans="1:15" ht="18.75">
      <c r="A141" s="221" t="str">
        <f>INDEX(Lookup!$A$1:$A$126,MATCH(DataYY03!C141,Lookup!$C$1:$C$126,0))</f>
        <v>Special School</v>
      </c>
      <c r="B141" s="223" t="s">
        <v>148</v>
      </c>
      <c r="C141" s="199" t="s">
        <v>222</v>
      </c>
      <c r="D141" s="199" t="s">
        <v>17</v>
      </c>
      <c r="E141" s="200">
        <v>85895</v>
      </c>
      <c r="F141" s="201">
        <v>43952</v>
      </c>
      <c r="G141" s="200">
        <v>0</v>
      </c>
      <c r="H141" s="200">
        <v>0</v>
      </c>
      <c r="I141" s="202">
        <v>0</v>
      </c>
      <c r="J141" s="203">
        <v>23218.28</v>
      </c>
      <c r="K141" s="203">
        <v>24555.13</v>
      </c>
      <c r="L141" s="204">
        <v>5.75774777459829</v>
      </c>
      <c r="M141" s="200">
        <v>0</v>
      </c>
      <c r="N141" s="200">
        <v>0</v>
      </c>
      <c r="O141" s="202">
        <v>0</v>
      </c>
    </row>
    <row r="142" spans="1:15" ht="18.75">
      <c r="A142" s="221" t="str">
        <f>INDEX(Lookup!$A$1:$A$126,MATCH(DataYY03!C142,Lookup!$C$1:$C$126,0))</f>
        <v>High School</v>
      </c>
      <c r="B142" s="224" t="s">
        <v>148</v>
      </c>
      <c r="C142" s="199" t="s">
        <v>39</v>
      </c>
      <c r="D142" s="199" t="s">
        <v>23</v>
      </c>
      <c r="E142" s="200">
        <v>573468</v>
      </c>
      <c r="F142" s="201">
        <v>36526</v>
      </c>
      <c r="G142" s="200">
        <v>0</v>
      </c>
      <c r="H142" s="200">
        <v>0</v>
      </c>
      <c r="I142" s="202">
        <v>0</v>
      </c>
      <c r="J142" s="203">
        <v>58393.53</v>
      </c>
      <c r="K142" s="203">
        <v>86777.75</v>
      </c>
      <c r="L142" s="204">
        <v>48.60850166105732</v>
      </c>
      <c r="M142" s="200">
        <v>0</v>
      </c>
      <c r="N142" s="200">
        <v>0</v>
      </c>
      <c r="O142" s="202">
        <v>0</v>
      </c>
    </row>
    <row r="143" spans="1:15" ht="18.75">
      <c r="A143" s="221" t="str">
        <f>INDEX(Lookup!$A$1:$A$126,MATCH(DataYY03!C143,Lookup!$C$1:$C$126,0))</f>
        <v>Middle School</v>
      </c>
      <c r="B143" s="223" t="s">
        <v>148</v>
      </c>
      <c r="C143" s="199" t="s">
        <v>42</v>
      </c>
      <c r="D143" s="199" t="s">
        <v>17</v>
      </c>
      <c r="E143" s="200">
        <v>204629</v>
      </c>
      <c r="F143" s="201">
        <v>36526</v>
      </c>
      <c r="G143" s="200">
        <v>0</v>
      </c>
      <c r="H143" s="200">
        <v>0</v>
      </c>
      <c r="I143" s="202">
        <v>0</v>
      </c>
      <c r="J143" s="203">
        <v>40866.37</v>
      </c>
      <c r="K143" s="203">
        <v>48491.56</v>
      </c>
      <c r="L143" s="204">
        <v>18.65883855111183</v>
      </c>
      <c r="M143" s="200">
        <v>0</v>
      </c>
      <c r="N143" s="200">
        <v>0</v>
      </c>
      <c r="O143" s="202">
        <v>0</v>
      </c>
    </row>
    <row r="144" spans="1:15" ht="18.75">
      <c r="A144" s="221" t="str">
        <f>INDEX(Lookup!$A$1:$A$126,MATCH(DataYY03!C144,Lookup!$C$1:$C$126,0))</f>
        <v>Elementary School</v>
      </c>
      <c r="B144" s="224" t="s">
        <v>148</v>
      </c>
      <c r="C144" s="199" t="s">
        <v>43</v>
      </c>
      <c r="D144" s="199" t="s">
        <v>17</v>
      </c>
      <c r="E144" s="200">
        <v>86318</v>
      </c>
      <c r="F144" s="201">
        <v>36526</v>
      </c>
      <c r="G144" s="200">
        <v>0</v>
      </c>
      <c r="H144" s="200">
        <v>0</v>
      </c>
      <c r="I144" s="202">
        <v>0</v>
      </c>
      <c r="J144" s="203">
        <v>18429.42</v>
      </c>
      <c r="K144" s="203">
        <v>24347.16</v>
      </c>
      <c r="L144" s="204">
        <v>32.1102888750704</v>
      </c>
      <c r="M144" s="200">
        <v>0</v>
      </c>
      <c r="N144" s="200">
        <v>0</v>
      </c>
      <c r="O144" s="202">
        <v>0</v>
      </c>
    </row>
    <row r="145" spans="1:15" ht="18.75">
      <c r="A145" s="221" t="str">
        <f>INDEX(Lookup!$A$1:$A$126,MATCH(DataYY03!C145,Lookup!$C$1:$C$126,0))</f>
        <v>High School</v>
      </c>
      <c r="B145" s="223" t="s">
        <v>148</v>
      </c>
      <c r="C145" s="199" t="s">
        <v>44</v>
      </c>
      <c r="D145" s="199" t="s">
        <v>17</v>
      </c>
      <c r="E145" s="200">
        <v>525576</v>
      </c>
      <c r="F145" s="201">
        <v>36526</v>
      </c>
      <c r="G145" s="200">
        <v>0</v>
      </c>
      <c r="H145" s="200">
        <v>0</v>
      </c>
      <c r="I145" s="202">
        <v>0</v>
      </c>
      <c r="J145" s="203">
        <v>106749.97</v>
      </c>
      <c r="K145" s="203">
        <v>112751.73</v>
      </c>
      <c r="L145" s="204">
        <v>5.62225919126722</v>
      </c>
      <c r="M145" s="200">
        <v>0</v>
      </c>
      <c r="N145" s="200">
        <v>0</v>
      </c>
      <c r="O145" s="202">
        <v>0</v>
      </c>
    </row>
    <row r="146" spans="1:15" ht="18.75">
      <c r="A146" s="221" t="s">
        <v>31</v>
      </c>
      <c r="B146" s="224" t="s">
        <v>148</v>
      </c>
      <c r="C146" s="199" t="s">
        <v>182</v>
      </c>
      <c r="D146" s="199" t="s">
        <v>23</v>
      </c>
      <c r="E146" s="200">
        <v>0</v>
      </c>
      <c r="F146" s="201">
        <v>36526</v>
      </c>
      <c r="G146" s="200">
        <v>0</v>
      </c>
      <c r="H146" s="200">
        <v>0</v>
      </c>
      <c r="I146" s="202">
        <v>0</v>
      </c>
      <c r="J146" s="203">
        <v>151912.45</v>
      </c>
      <c r="K146" s="203">
        <v>186567.2</v>
      </c>
      <c r="L146" s="204">
        <v>22.812317226139136</v>
      </c>
      <c r="M146" s="200">
        <v>0</v>
      </c>
      <c r="N146" s="200">
        <v>0</v>
      </c>
      <c r="O146" s="202">
        <v>0</v>
      </c>
    </row>
    <row r="147" spans="1:15" ht="18.75">
      <c r="A147" s="221" t="str">
        <f>INDEX(Lookup!$A$1:$A$126,MATCH(DataYY03!C147,Lookup!$C$1:$C$126,0))</f>
        <v>High School</v>
      </c>
      <c r="B147" s="223" t="s">
        <v>148</v>
      </c>
      <c r="C147" s="199" t="s">
        <v>48</v>
      </c>
      <c r="D147" s="199" t="s">
        <v>17</v>
      </c>
      <c r="E147" s="200">
        <v>578719</v>
      </c>
      <c r="F147" s="201">
        <v>36526</v>
      </c>
      <c r="G147" s="200">
        <v>0</v>
      </c>
      <c r="H147" s="200">
        <v>0</v>
      </c>
      <c r="I147" s="202">
        <v>0</v>
      </c>
      <c r="J147" s="203">
        <v>88321.3</v>
      </c>
      <c r="K147" s="203">
        <v>79632.25</v>
      </c>
      <c r="L147" s="204">
        <v>-9.838000572908234</v>
      </c>
      <c r="M147" s="200">
        <v>0</v>
      </c>
      <c r="N147" s="200">
        <v>0</v>
      </c>
      <c r="O147" s="202">
        <v>0</v>
      </c>
    </row>
    <row r="148" spans="1:15" ht="18.75">
      <c r="A148" s="221" t="str">
        <f>INDEX(Lookup!$A$1:$A$126,MATCH(DataYY03!C148,Lookup!$C$1:$C$126,0))</f>
        <v>High School</v>
      </c>
      <c r="B148" s="224" t="s">
        <v>148</v>
      </c>
      <c r="C148" s="199" t="s">
        <v>49</v>
      </c>
      <c r="D148" s="199" t="s">
        <v>21</v>
      </c>
      <c r="E148" s="200">
        <v>520212</v>
      </c>
      <c r="F148" s="201">
        <v>36526</v>
      </c>
      <c r="G148" s="200">
        <v>0</v>
      </c>
      <c r="H148" s="200">
        <v>0</v>
      </c>
      <c r="I148" s="202">
        <v>0</v>
      </c>
      <c r="J148" s="203">
        <v>82367.59</v>
      </c>
      <c r="K148" s="203">
        <v>87024.16</v>
      </c>
      <c r="L148" s="204">
        <v>5.653400809711684</v>
      </c>
      <c r="M148" s="200">
        <v>0</v>
      </c>
      <c r="N148" s="200">
        <v>0</v>
      </c>
      <c r="O148" s="202">
        <v>0</v>
      </c>
    </row>
    <row r="149" spans="1:15" ht="18.75">
      <c r="A149" s="221" t="str">
        <f>INDEX(Lookup!$A$1:$A$126,MATCH(DataYY03!C149,Lookup!$C$1:$C$126,0))</f>
        <v>High School</v>
      </c>
      <c r="B149" s="223" t="s">
        <v>148</v>
      </c>
      <c r="C149" s="199" t="s">
        <v>50</v>
      </c>
      <c r="D149" s="199" t="s">
        <v>23</v>
      </c>
      <c r="E149" s="200">
        <v>590057</v>
      </c>
      <c r="F149" s="201">
        <v>36526</v>
      </c>
      <c r="G149" s="200">
        <v>0</v>
      </c>
      <c r="H149" s="200">
        <v>0</v>
      </c>
      <c r="I149" s="202">
        <v>0</v>
      </c>
      <c r="J149" s="203">
        <v>64034.93</v>
      </c>
      <c r="K149" s="203">
        <v>70916.34</v>
      </c>
      <c r="L149" s="204">
        <v>10.74633797522696</v>
      </c>
      <c r="M149" s="200">
        <v>0</v>
      </c>
      <c r="N149" s="200">
        <v>0</v>
      </c>
      <c r="O149" s="202">
        <v>0</v>
      </c>
    </row>
    <row r="150" spans="1:15" ht="18.75">
      <c r="A150" s="221" t="str">
        <f>INDEX(Lookup!$A$1:$A$126,MATCH(DataYY03!C150,Lookup!$C$1:$C$126,0))</f>
        <v>High School</v>
      </c>
      <c r="B150" s="224" t="s">
        <v>148</v>
      </c>
      <c r="C150" s="199" t="s">
        <v>51</v>
      </c>
      <c r="D150" s="199" t="s">
        <v>23</v>
      </c>
      <c r="E150" s="200">
        <v>530203</v>
      </c>
      <c r="F150" s="201">
        <v>36526</v>
      </c>
      <c r="G150" s="200">
        <v>0</v>
      </c>
      <c r="H150" s="200">
        <v>0</v>
      </c>
      <c r="I150" s="202">
        <v>0</v>
      </c>
      <c r="J150" s="203">
        <v>104861.4</v>
      </c>
      <c r="K150" s="203">
        <v>105142.58</v>
      </c>
      <c r="L150" s="204">
        <v>0.26814442683389694</v>
      </c>
      <c r="M150" s="200">
        <v>0</v>
      </c>
      <c r="N150" s="200">
        <v>0</v>
      </c>
      <c r="O150" s="202">
        <v>0</v>
      </c>
    </row>
    <row r="151" spans="1:15" ht="18.75">
      <c r="A151" s="221" t="str">
        <f>INDEX(Lookup!$A$1:$A$126,MATCH(DataYY03!C151,Lookup!$C$1:$C$126,0))</f>
        <v>High School</v>
      </c>
      <c r="B151" s="223" t="s">
        <v>148</v>
      </c>
      <c r="C151" s="199" t="s">
        <v>52</v>
      </c>
      <c r="D151" s="199" t="s">
        <v>17</v>
      </c>
      <c r="E151" s="200">
        <v>497661</v>
      </c>
      <c r="F151" s="201">
        <v>36526</v>
      </c>
      <c r="G151" s="200">
        <v>0</v>
      </c>
      <c r="H151" s="200">
        <v>0</v>
      </c>
      <c r="I151" s="202">
        <v>0</v>
      </c>
      <c r="J151" s="203">
        <v>73114.14</v>
      </c>
      <c r="K151" s="203">
        <v>76738.04</v>
      </c>
      <c r="L151" s="204">
        <v>4.956496787078396</v>
      </c>
      <c r="M151" s="200">
        <v>0</v>
      </c>
      <c r="N151" s="200">
        <v>0</v>
      </c>
      <c r="O151" s="202">
        <v>0</v>
      </c>
    </row>
    <row r="152" spans="1:15" ht="18.75">
      <c r="A152" s="221" t="str">
        <f>INDEX(Lookup!$A$1:$A$126,MATCH(DataYY03!C152,Lookup!$C$1:$C$126,0))</f>
        <v>High School</v>
      </c>
      <c r="B152" s="224" t="s">
        <v>148</v>
      </c>
      <c r="C152" s="199" t="s">
        <v>53</v>
      </c>
      <c r="D152" s="199" t="s">
        <v>23</v>
      </c>
      <c r="E152" s="200">
        <v>477795</v>
      </c>
      <c r="F152" s="201">
        <v>36526</v>
      </c>
      <c r="G152" s="200">
        <v>0</v>
      </c>
      <c r="H152" s="200">
        <v>0</v>
      </c>
      <c r="I152" s="202">
        <v>0</v>
      </c>
      <c r="J152" s="203">
        <v>183407.18</v>
      </c>
      <c r="K152" s="203">
        <v>218019.94</v>
      </c>
      <c r="L152" s="204">
        <v>18.872085596648944</v>
      </c>
      <c r="M152" s="200">
        <v>0</v>
      </c>
      <c r="N152" s="200">
        <v>0</v>
      </c>
      <c r="O152" s="202">
        <v>0</v>
      </c>
    </row>
    <row r="153" spans="1:15" ht="18.75">
      <c r="A153" s="221" t="str">
        <f>INDEX(Lookup!$A$1:$A$126,MATCH(DataYY03!C153,Lookup!$C$1:$C$126,0))</f>
        <v>High School</v>
      </c>
      <c r="B153" s="223" t="s">
        <v>148</v>
      </c>
      <c r="C153" s="199" t="s">
        <v>54</v>
      </c>
      <c r="D153" s="199" t="s">
        <v>23</v>
      </c>
      <c r="E153" s="200">
        <v>535914</v>
      </c>
      <c r="F153" s="201">
        <v>36526</v>
      </c>
      <c r="G153" s="200">
        <v>0</v>
      </c>
      <c r="H153" s="200">
        <v>0</v>
      </c>
      <c r="I153" s="202">
        <v>0</v>
      </c>
      <c r="J153" s="203">
        <v>53799.42</v>
      </c>
      <c r="K153" s="203">
        <v>54711.02</v>
      </c>
      <c r="L153" s="204">
        <v>1.6944420590407854</v>
      </c>
      <c r="M153" s="200">
        <v>0</v>
      </c>
      <c r="N153" s="200">
        <v>0</v>
      </c>
      <c r="O153" s="202">
        <v>0</v>
      </c>
    </row>
    <row r="154" spans="1:15" ht="18.75">
      <c r="A154" s="221" t="str">
        <f>INDEX(Lookup!$A$1:$A$126,MATCH(DataYY03!C154,Lookup!$C$1:$C$126,0))</f>
        <v>Elementary School</v>
      </c>
      <c r="B154" s="224" t="s">
        <v>148</v>
      </c>
      <c r="C154" s="199" t="s">
        <v>55</v>
      </c>
      <c r="D154" s="199" t="s">
        <v>17</v>
      </c>
      <c r="E154" s="200">
        <v>99588</v>
      </c>
      <c r="F154" s="201">
        <v>36526</v>
      </c>
      <c r="G154" s="200">
        <v>0</v>
      </c>
      <c r="H154" s="200">
        <v>0</v>
      </c>
      <c r="I154" s="202">
        <v>0</v>
      </c>
      <c r="J154" s="203">
        <v>17214.27</v>
      </c>
      <c r="K154" s="203">
        <v>18637.25</v>
      </c>
      <c r="L154" s="204">
        <v>8.266281404904186</v>
      </c>
      <c r="M154" s="200">
        <v>0</v>
      </c>
      <c r="N154" s="200">
        <v>0</v>
      </c>
      <c r="O154" s="202">
        <v>0</v>
      </c>
    </row>
    <row r="155" spans="1:15" ht="18.75">
      <c r="A155" s="221" t="str">
        <f>INDEX(Lookup!$A$1:$A$126,MATCH(DataYY03!C155,Lookup!$C$1:$C$126,0))</f>
        <v>Middle School</v>
      </c>
      <c r="B155" s="223" t="s">
        <v>148</v>
      </c>
      <c r="C155" s="199" t="s">
        <v>56</v>
      </c>
      <c r="D155" s="199" t="s">
        <v>17</v>
      </c>
      <c r="E155" s="200">
        <v>225860</v>
      </c>
      <c r="F155" s="201">
        <v>43952</v>
      </c>
      <c r="G155" s="200">
        <v>0</v>
      </c>
      <c r="H155" s="200">
        <v>0</v>
      </c>
      <c r="I155" s="202">
        <v>0</v>
      </c>
      <c r="J155" s="203">
        <v>21004.04</v>
      </c>
      <c r="K155" s="203">
        <v>37049.67</v>
      </c>
      <c r="L155" s="204">
        <v>76.39306533409763</v>
      </c>
      <c r="M155" s="200">
        <v>0</v>
      </c>
      <c r="N155" s="200">
        <v>0</v>
      </c>
      <c r="O155" s="202">
        <v>0</v>
      </c>
    </row>
    <row r="156" spans="1:15" ht="18.75">
      <c r="A156" s="221" t="str">
        <f>INDEX(Lookup!$A$1:$A$126,MATCH(DataYY03!C156,Lookup!$C$1:$C$126,0))</f>
        <v>Elementary School</v>
      </c>
      <c r="B156" s="224" t="s">
        <v>148</v>
      </c>
      <c r="C156" s="199" t="s">
        <v>57</v>
      </c>
      <c r="D156" s="199" t="s">
        <v>21</v>
      </c>
      <c r="E156" s="200">
        <v>96423</v>
      </c>
      <c r="F156" s="201">
        <v>43952</v>
      </c>
      <c r="G156" s="200">
        <v>0</v>
      </c>
      <c r="H156" s="200">
        <v>0</v>
      </c>
      <c r="I156" s="202">
        <v>0</v>
      </c>
      <c r="J156" s="203">
        <v>23658.08</v>
      </c>
      <c r="K156" s="203">
        <v>22781.08</v>
      </c>
      <c r="L156" s="204">
        <v>-3.706978757363235</v>
      </c>
      <c r="M156" s="200">
        <v>0</v>
      </c>
      <c r="N156" s="200">
        <v>0</v>
      </c>
      <c r="O156" s="202">
        <v>0</v>
      </c>
    </row>
    <row r="157" spans="1:15" ht="18.75">
      <c r="A157" s="221" t="str">
        <f>INDEX(Lookup!$A$1:$A$126,MATCH(DataYY03!C157,Lookup!$C$1:$C$126,0))</f>
        <v>Administration</v>
      </c>
      <c r="B157" s="223" t="s">
        <v>148</v>
      </c>
      <c r="C157" s="199" t="s">
        <v>58</v>
      </c>
      <c r="D157" s="199" t="s">
        <v>17</v>
      </c>
      <c r="E157" s="200">
        <v>6832</v>
      </c>
      <c r="F157" s="201">
        <v>36526</v>
      </c>
      <c r="G157" s="200">
        <v>0</v>
      </c>
      <c r="H157" s="200">
        <v>0</v>
      </c>
      <c r="I157" s="202">
        <v>0</v>
      </c>
      <c r="J157" s="203">
        <v>1963.77</v>
      </c>
      <c r="K157" s="203">
        <v>1888.81</v>
      </c>
      <c r="L157" s="204">
        <v>-3.8171476293048574</v>
      </c>
      <c r="M157" s="200">
        <v>0</v>
      </c>
      <c r="N157" s="200">
        <v>0</v>
      </c>
      <c r="O157" s="202">
        <v>0</v>
      </c>
    </row>
    <row r="158" spans="1:15" ht="18.75">
      <c r="A158" s="221" t="str">
        <f>INDEX(Lookup!$A$1:$A$126,MATCH(DataYY03!C158,Lookup!$C$1:$C$126,0))</f>
        <v>Administration</v>
      </c>
      <c r="B158" s="224" t="s">
        <v>148</v>
      </c>
      <c r="C158" s="199" t="s">
        <v>59</v>
      </c>
      <c r="D158" s="199" t="s">
        <v>17</v>
      </c>
      <c r="E158" s="200">
        <v>4573</v>
      </c>
      <c r="F158" s="201">
        <v>36526</v>
      </c>
      <c r="G158" s="200">
        <v>0</v>
      </c>
      <c r="H158" s="200">
        <v>0</v>
      </c>
      <c r="I158" s="202">
        <v>0</v>
      </c>
      <c r="J158" s="203">
        <v>2809.1</v>
      </c>
      <c r="K158" s="203">
        <v>2472.25</v>
      </c>
      <c r="L158" s="204">
        <v>-11.99138514114841</v>
      </c>
      <c r="M158" s="200">
        <v>0</v>
      </c>
      <c r="N158" s="200">
        <v>0</v>
      </c>
      <c r="O158" s="202">
        <v>0</v>
      </c>
    </row>
    <row r="159" spans="1:15" ht="18.75">
      <c r="A159" s="221" t="str">
        <f>INDEX(Lookup!$A$1:$A$126,MATCH(DataYY03!C159,Lookup!$C$1:$C$126,0))</f>
        <v>Administration</v>
      </c>
      <c r="B159" s="223" t="s">
        <v>148</v>
      </c>
      <c r="C159" s="199" t="s">
        <v>60</v>
      </c>
      <c r="D159" s="199" t="s">
        <v>17</v>
      </c>
      <c r="E159" s="200">
        <v>26451</v>
      </c>
      <c r="F159" s="201">
        <v>36526</v>
      </c>
      <c r="G159" s="200">
        <v>0</v>
      </c>
      <c r="H159" s="200">
        <v>0</v>
      </c>
      <c r="I159" s="202">
        <v>0</v>
      </c>
      <c r="J159" s="203">
        <v>8856.75</v>
      </c>
      <c r="K159" s="203">
        <v>9933.2</v>
      </c>
      <c r="L159" s="204">
        <v>12.154006830948147</v>
      </c>
      <c r="M159" s="200">
        <v>0</v>
      </c>
      <c r="N159" s="200">
        <v>0</v>
      </c>
      <c r="O159" s="202">
        <v>0</v>
      </c>
    </row>
    <row r="160" spans="1:15" ht="18.75">
      <c r="A160" s="221" t="str">
        <f>INDEX(Lookup!$A$1:$A$126,MATCH(DataYY03!C160,Lookup!$C$1:$C$126,0))</f>
        <v>Elementary School</v>
      </c>
      <c r="B160" s="224" t="s">
        <v>148</v>
      </c>
      <c r="C160" s="199" t="s">
        <v>61</v>
      </c>
      <c r="D160" s="199" t="s">
        <v>21</v>
      </c>
      <c r="E160" s="200">
        <v>96902</v>
      </c>
      <c r="F160" s="201">
        <v>43952</v>
      </c>
      <c r="G160" s="200">
        <v>0</v>
      </c>
      <c r="H160" s="200">
        <v>0</v>
      </c>
      <c r="I160" s="202">
        <v>0</v>
      </c>
      <c r="J160" s="203">
        <v>19043.74</v>
      </c>
      <c r="K160" s="203">
        <v>47098.9</v>
      </c>
      <c r="L160" s="204">
        <v>147.31959163483643</v>
      </c>
      <c r="M160" s="200">
        <v>0</v>
      </c>
      <c r="N160" s="200">
        <v>0</v>
      </c>
      <c r="O160" s="202">
        <v>0</v>
      </c>
    </row>
    <row r="161" spans="1:15" ht="18.75">
      <c r="A161" s="221" t="str">
        <f>INDEX(Lookup!$A$1:$A$126,MATCH(DataYY03!C161,Lookup!$C$1:$C$126,0))</f>
        <v>Elementary School</v>
      </c>
      <c r="B161" s="223" t="s">
        <v>148</v>
      </c>
      <c r="C161" s="199" t="s">
        <v>62</v>
      </c>
      <c r="D161" s="199" t="s">
        <v>17</v>
      </c>
      <c r="E161" s="200">
        <v>77394</v>
      </c>
      <c r="F161" s="201">
        <v>43952</v>
      </c>
      <c r="G161" s="200">
        <v>0</v>
      </c>
      <c r="H161" s="200">
        <v>0</v>
      </c>
      <c r="I161" s="202">
        <v>0</v>
      </c>
      <c r="J161" s="203">
        <v>16755.5</v>
      </c>
      <c r="K161" s="203">
        <v>18302.25</v>
      </c>
      <c r="L161" s="204">
        <v>9.231297185998628</v>
      </c>
      <c r="M161" s="200">
        <v>0</v>
      </c>
      <c r="N161" s="200">
        <v>0</v>
      </c>
      <c r="O161" s="202">
        <v>0</v>
      </c>
    </row>
    <row r="162" spans="1:15" ht="18.75">
      <c r="A162" s="221" t="str">
        <f>INDEX(Lookup!$A$1:$A$126,MATCH(DataYY03!C162,Lookup!$C$1:$C$126,0))</f>
        <v>Administration</v>
      </c>
      <c r="B162" s="224" t="s">
        <v>148</v>
      </c>
      <c r="C162" s="199" t="s">
        <v>65</v>
      </c>
      <c r="D162" s="199" t="s">
        <v>17</v>
      </c>
      <c r="E162" s="200">
        <v>0</v>
      </c>
      <c r="F162" s="201">
        <v>36526</v>
      </c>
      <c r="G162" s="200">
        <v>0</v>
      </c>
      <c r="H162" s="200">
        <v>0</v>
      </c>
      <c r="I162" s="202">
        <v>0</v>
      </c>
      <c r="J162" s="203">
        <v>179443.7</v>
      </c>
      <c r="K162" s="203">
        <v>199401.77</v>
      </c>
      <c r="L162" s="204">
        <v>11.122190414040727</v>
      </c>
      <c r="M162" s="200">
        <v>0</v>
      </c>
      <c r="N162" s="200">
        <v>0</v>
      </c>
      <c r="O162" s="202">
        <v>0</v>
      </c>
    </row>
    <row r="163" spans="1:15" ht="18.75">
      <c r="A163" s="221" t="str">
        <f>INDEX(Lookup!$A$1:$A$126,MATCH(DataYY03!C163,Lookup!$C$1:$C$126,0))</f>
        <v>Elementary School</v>
      </c>
      <c r="B163" s="223" t="s">
        <v>148</v>
      </c>
      <c r="C163" s="199" t="s">
        <v>66</v>
      </c>
      <c r="D163" s="199" t="s">
        <v>23</v>
      </c>
      <c r="E163" s="200">
        <v>95036</v>
      </c>
      <c r="F163" s="201">
        <v>36526</v>
      </c>
      <c r="G163" s="200">
        <v>0</v>
      </c>
      <c r="H163" s="200">
        <v>0</v>
      </c>
      <c r="I163" s="202">
        <v>0</v>
      </c>
      <c r="J163" s="203">
        <v>23234.07</v>
      </c>
      <c r="K163" s="203">
        <v>20037.52</v>
      </c>
      <c r="L163" s="204">
        <v>-13.758028619178647</v>
      </c>
      <c r="M163" s="200">
        <v>0</v>
      </c>
      <c r="N163" s="200">
        <v>0</v>
      </c>
      <c r="O163" s="202">
        <v>0</v>
      </c>
    </row>
    <row r="164" spans="1:15" ht="18.75">
      <c r="A164" s="221" t="str">
        <f>INDEX(Lookup!$A$1:$A$126,MATCH(DataYY03!C164,Lookup!$C$1:$C$126,0))</f>
        <v>Elementary School</v>
      </c>
      <c r="B164" s="224" t="s">
        <v>148</v>
      </c>
      <c r="C164" s="199" t="s">
        <v>67</v>
      </c>
      <c r="D164" s="199" t="s">
        <v>17</v>
      </c>
      <c r="E164" s="200">
        <v>91621</v>
      </c>
      <c r="F164" s="201">
        <v>36526</v>
      </c>
      <c r="G164" s="200">
        <v>0</v>
      </c>
      <c r="H164" s="200">
        <v>0</v>
      </c>
      <c r="I164" s="202">
        <v>0</v>
      </c>
      <c r="J164" s="203">
        <v>24074.86</v>
      </c>
      <c r="K164" s="203">
        <v>24230.7</v>
      </c>
      <c r="L164" s="204">
        <v>0.6473142522947174</v>
      </c>
      <c r="M164" s="200">
        <v>0</v>
      </c>
      <c r="N164" s="200">
        <v>0</v>
      </c>
      <c r="O164" s="202">
        <v>0</v>
      </c>
    </row>
    <row r="165" spans="1:15" ht="18.75">
      <c r="A165" s="221" t="str">
        <f>INDEX(Lookup!$A$1:$A$126,MATCH(DataYY03!C165,Lookup!$C$1:$C$126,0))</f>
        <v>Elementary School</v>
      </c>
      <c r="B165" s="223" t="s">
        <v>148</v>
      </c>
      <c r="C165" s="199" t="s">
        <v>70</v>
      </c>
      <c r="D165" s="199" t="s">
        <v>17</v>
      </c>
      <c r="E165" s="200">
        <v>90518</v>
      </c>
      <c r="F165" s="201">
        <v>36526</v>
      </c>
      <c r="G165" s="200">
        <v>0</v>
      </c>
      <c r="H165" s="200">
        <v>0</v>
      </c>
      <c r="I165" s="202">
        <v>0</v>
      </c>
      <c r="J165" s="203">
        <v>10281.8</v>
      </c>
      <c r="K165" s="203">
        <v>9625.79</v>
      </c>
      <c r="L165" s="204">
        <v>-6.3803030597755255</v>
      </c>
      <c r="M165" s="200">
        <v>0</v>
      </c>
      <c r="N165" s="200">
        <v>0</v>
      </c>
      <c r="O165" s="202">
        <v>0</v>
      </c>
    </row>
    <row r="166" spans="1:15" ht="18.75">
      <c r="A166" s="221" t="str">
        <f>INDEX(Lookup!$A$1:$A$126,MATCH(DataYY03!C166,Lookup!$C$1:$C$126,0))</f>
        <v>Elementary School</v>
      </c>
      <c r="B166" s="224" t="s">
        <v>148</v>
      </c>
      <c r="C166" s="199" t="s">
        <v>71</v>
      </c>
      <c r="D166" s="199" t="s">
        <v>17</v>
      </c>
      <c r="E166" s="200">
        <v>85844</v>
      </c>
      <c r="F166" s="201">
        <v>36526</v>
      </c>
      <c r="G166" s="200">
        <v>0</v>
      </c>
      <c r="H166" s="200">
        <v>0</v>
      </c>
      <c r="I166" s="202">
        <v>0</v>
      </c>
      <c r="J166" s="203">
        <v>4759.6</v>
      </c>
      <c r="K166" s="203">
        <v>3804.65</v>
      </c>
      <c r="L166" s="204">
        <v>-20.063660811832925</v>
      </c>
      <c r="M166" s="200">
        <v>0</v>
      </c>
      <c r="N166" s="200">
        <v>0</v>
      </c>
      <c r="O166" s="202">
        <v>0</v>
      </c>
    </row>
    <row r="167" spans="1:15" ht="18.75">
      <c r="A167" s="221" t="str">
        <f>INDEX(Lookup!$A$1:$A$126,MATCH(DataYY03!C167,Lookup!$C$1:$C$126,0))</f>
        <v>Elementary School</v>
      </c>
      <c r="B167" s="223" t="s">
        <v>148</v>
      </c>
      <c r="C167" s="199" t="s">
        <v>72</v>
      </c>
      <c r="D167" s="199" t="s">
        <v>17</v>
      </c>
      <c r="E167" s="200">
        <v>91424</v>
      </c>
      <c r="F167" s="201">
        <v>36526</v>
      </c>
      <c r="G167" s="200">
        <v>0</v>
      </c>
      <c r="H167" s="200">
        <v>0</v>
      </c>
      <c r="I167" s="202">
        <v>0</v>
      </c>
      <c r="J167" s="203">
        <v>14450.72</v>
      </c>
      <c r="K167" s="203">
        <v>13570</v>
      </c>
      <c r="L167" s="204">
        <v>-6.094644419101609</v>
      </c>
      <c r="M167" s="200">
        <v>0</v>
      </c>
      <c r="N167" s="200">
        <v>0</v>
      </c>
      <c r="O167" s="202">
        <v>0</v>
      </c>
    </row>
    <row r="168" spans="1:15" ht="18.75">
      <c r="A168" s="221" t="str">
        <f>INDEX(Lookup!$A$1:$A$126,MATCH(DataYY03!C168,Lookup!$C$1:$C$126,0))</f>
        <v>Middle School</v>
      </c>
      <c r="B168" s="224" t="s">
        <v>148</v>
      </c>
      <c r="C168" s="199" t="s">
        <v>73</v>
      </c>
      <c r="D168" s="199" t="s">
        <v>23</v>
      </c>
      <c r="E168" s="200">
        <v>218801</v>
      </c>
      <c r="F168" s="201">
        <v>36526</v>
      </c>
      <c r="G168" s="200">
        <v>0</v>
      </c>
      <c r="H168" s="200">
        <v>0</v>
      </c>
      <c r="I168" s="202">
        <v>0</v>
      </c>
      <c r="J168" s="203">
        <v>39240.4</v>
      </c>
      <c r="K168" s="203">
        <v>45357.36</v>
      </c>
      <c r="L168" s="204">
        <v>15.58842417508486</v>
      </c>
      <c r="M168" s="200">
        <v>0</v>
      </c>
      <c r="N168" s="200">
        <v>0</v>
      </c>
      <c r="O168" s="202">
        <v>0</v>
      </c>
    </row>
    <row r="169" spans="1:15" ht="18.75">
      <c r="A169" s="221" t="str">
        <f>INDEX(Lookup!$A$1:$A$126,MATCH(DataYY03!C169,Lookup!$C$1:$C$126,0))</f>
        <v>Elementary School</v>
      </c>
      <c r="B169" s="223" t="s">
        <v>148</v>
      </c>
      <c r="C169" s="199" t="s">
        <v>74</v>
      </c>
      <c r="D169" s="199" t="s">
        <v>17</v>
      </c>
      <c r="E169" s="200">
        <v>85052</v>
      </c>
      <c r="F169" s="201">
        <v>36526</v>
      </c>
      <c r="G169" s="200">
        <v>0</v>
      </c>
      <c r="H169" s="200">
        <v>0</v>
      </c>
      <c r="I169" s="202">
        <v>0</v>
      </c>
      <c r="J169" s="203">
        <v>20170.38</v>
      </c>
      <c r="K169" s="203">
        <v>20290.04</v>
      </c>
      <c r="L169" s="204">
        <v>0.5932461361660019</v>
      </c>
      <c r="M169" s="200">
        <v>0</v>
      </c>
      <c r="N169" s="200">
        <v>0</v>
      </c>
      <c r="O169" s="202">
        <v>0</v>
      </c>
    </row>
    <row r="170" spans="1:15" ht="18.75">
      <c r="A170" s="221" t="str">
        <f>INDEX(Lookup!$A$1:$A$126,MATCH(DataYY03!C170,Lookup!$C$1:$C$126,0))</f>
        <v>Elementary School</v>
      </c>
      <c r="B170" s="224" t="s">
        <v>148</v>
      </c>
      <c r="C170" s="199" t="s">
        <v>75</v>
      </c>
      <c r="D170" s="199" t="s">
        <v>23</v>
      </c>
      <c r="E170" s="200">
        <v>88156</v>
      </c>
      <c r="F170" s="201">
        <v>43952</v>
      </c>
      <c r="G170" s="200">
        <v>0</v>
      </c>
      <c r="H170" s="200">
        <v>0</v>
      </c>
      <c r="I170" s="202">
        <v>0</v>
      </c>
      <c r="J170" s="203">
        <v>16479.85</v>
      </c>
      <c r="K170" s="203">
        <v>26388.06</v>
      </c>
      <c r="L170" s="204">
        <v>60.12318073283434</v>
      </c>
      <c r="M170" s="200">
        <v>0</v>
      </c>
      <c r="N170" s="200">
        <v>0</v>
      </c>
      <c r="O170" s="202">
        <v>0</v>
      </c>
    </row>
    <row r="171" spans="1:15" ht="18.75">
      <c r="A171" s="221" t="str">
        <f>INDEX(Lookup!$A$1:$A$126,MATCH(DataYY03!C171,Lookup!$C$1:$C$126,0))</f>
        <v>Middle School</v>
      </c>
      <c r="B171" s="223" t="s">
        <v>148</v>
      </c>
      <c r="C171" s="199" t="s">
        <v>76</v>
      </c>
      <c r="D171" s="199" t="s">
        <v>23</v>
      </c>
      <c r="E171" s="200">
        <v>192751</v>
      </c>
      <c r="F171" s="201">
        <v>36526</v>
      </c>
      <c r="G171" s="200">
        <v>0</v>
      </c>
      <c r="H171" s="200">
        <v>0</v>
      </c>
      <c r="I171" s="202">
        <v>0</v>
      </c>
      <c r="J171" s="203">
        <v>46393.46</v>
      </c>
      <c r="K171" s="203">
        <v>43853.07</v>
      </c>
      <c r="L171" s="204">
        <v>-5.475750245832063</v>
      </c>
      <c r="M171" s="200">
        <v>0</v>
      </c>
      <c r="N171" s="200">
        <v>0</v>
      </c>
      <c r="O171" s="202">
        <v>0</v>
      </c>
    </row>
    <row r="172" spans="1:15" ht="18.75">
      <c r="A172" s="221" t="str">
        <f>INDEX(Lookup!$A$1:$A$126,MATCH(DataYY03!C172,Lookup!$C$1:$C$126,0))</f>
        <v>Elementary School</v>
      </c>
      <c r="B172" s="224" t="s">
        <v>148</v>
      </c>
      <c r="C172" s="199" t="s">
        <v>77</v>
      </c>
      <c r="D172" s="199" t="s">
        <v>17</v>
      </c>
      <c r="E172" s="200">
        <v>88795</v>
      </c>
      <c r="F172" s="201">
        <v>36526</v>
      </c>
      <c r="G172" s="200">
        <v>0</v>
      </c>
      <c r="H172" s="200">
        <v>0</v>
      </c>
      <c r="I172" s="202">
        <v>0</v>
      </c>
      <c r="J172" s="203">
        <v>14624.66</v>
      </c>
      <c r="K172" s="203">
        <v>15772.21</v>
      </c>
      <c r="L172" s="204">
        <v>7.846678144996191</v>
      </c>
      <c r="M172" s="200">
        <v>0</v>
      </c>
      <c r="N172" s="200">
        <v>0</v>
      </c>
      <c r="O172" s="202">
        <v>0</v>
      </c>
    </row>
    <row r="173" spans="1:15" ht="18.75">
      <c r="A173" s="221" t="str">
        <f>INDEX(Lookup!$A$1:$A$126,MATCH(DataYY03!C173,Lookup!$C$1:$C$126,0))</f>
        <v>Elementary School</v>
      </c>
      <c r="B173" s="223" t="s">
        <v>148</v>
      </c>
      <c r="C173" s="199" t="s">
        <v>78</v>
      </c>
      <c r="D173" s="199" t="s">
        <v>21</v>
      </c>
      <c r="E173" s="200">
        <v>96483</v>
      </c>
      <c r="F173" s="201">
        <v>36526</v>
      </c>
      <c r="G173" s="200">
        <v>0</v>
      </c>
      <c r="H173" s="200">
        <v>0</v>
      </c>
      <c r="I173" s="202">
        <v>0</v>
      </c>
      <c r="J173" s="203">
        <v>15359.97</v>
      </c>
      <c r="K173" s="203">
        <v>16901.79</v>
      </c>
      <c r="L173" s="204">
        <v>10.037910230293418</v>
      </c>
      <c r="M173" s="200">
        <v>0</v>
      </c>
      <c r="N173" s="200">
        <v>0</v>
      </c>
      <c r="O173" s="202">
        <v>0</v>
      </c>
    </row>
    <row r="174" spans="1:15" ht="18.75">
      <c r="A174" s="221" t="str">
        <f>INDEX(Lookup!$A$1:$A$126,MATCH(DataYY03!C174,Lookup!$C$1:$C$126,0))</f>
        <v>Elementary School</v>
      </c>
      <c r="B174" s="224" t="s">
        <v>148</v>
      </c>
      <c r="C174" s="199" t="s">
        <v>79</v>
      </c>
      <c r="D174" s="199" t="s">
        <v>17</v>
      </c>
      <c r="E174" s="200">
        <v>99937</v>
      </c>
      <c r="F174" s="201">
        <v>36526</v>
      </c>
      <c r="G174" s="200">
        <v>0</v>
      </c>
      <c r="H174" s="200">
        <v>0</v>
      </c>
      <c r="I174" s="202">
        <v>0</v>
      </c>
      <c r="J174" s="203">
        <v>29071.34</v>
      </c>
      <c r="K174" s="203">
        <v>24898.8</v>
      </c>
      <c r="L174" s="204">
        <v>-14.352761173031583</v>
      </c>
      <c r="M174" s="200">
        <v>0</v>
      </c>
      <c r="N174" s="200">
        <v>0</v>
      </c>
      <c r="O174" s="202">
        <v>0</v>
      </c>
    </row>
    <row r="175" spans="1:15" ht="18.75">
      <c r="A175" s="221" t="str">
        <f>INDEX(Lookup!$A$1:$A$126,MATCH(DataYY03!C175,Lookup!$C$1:$C$126,0))</f>
        <v>Elementary School</v>
      </c>
      <c r="B175" s="223" t="s">
        <v>148</v>
      </c>
      <c r="C175" s="199" t="s">
        <v>80</v>
      </c>
      <c r="D175" s="199" t="s">
        <v>17</v>
      </c>
      <c r="E175" s="200">
        <v>81704</v>
      </c>
      <c r="F175" s="201">
        <v>36526</v>
      </c>
      <c r="G175" s="200">
        <v>0</v>
      </c>
      <c r="H175" s="200">
        <v>0</v>
      </c>
      <c r="I175" s="202">
        <v>0</v>
      </c>
      <c r="J175" s="203">
        <v>16645.4</v>
      </c>
      <c r="K175" s="203">
        <v>21281.14</v>
      </c>
      <c r="L175" s="204">
        <v>27.849976570103454</v>
      </c>
      <c r="M175" s="200">
        <v>0</v>
      </c>
      <c r="N175" s="200">
        <v>0</v>
      </c>
      <c r="O175" s="202">
        <v>0</v>
      </c>
    </row>
    <row r="176" spans="1:15" ht="18.75">
      <c r="A176" s="221" t="str">
        <f>INDEX(Lookup!$A$1:$A$126,MATCH(DataYY03!C176,Lookup!$C$1:$C$126,0))</f>
        <v>Elementary School</v>
      </c>
      <c r="B176" s="224" t="s">
        <v>148</v>
      </c>
      <c r="C176" s="199" t="s">
        <v>81</v>
      </c>
      <c r="D176" s="199" t="s">
        <v>21</v>
      </c>
      <c r="E176" s="200">
        <v>112519</v>
      </c>
      <c r="F176" s="201">
        <v>36526</v>
      </c>
      <c r="G176" s="200">
        <v>0</v>
      </c>
      <c r="H176" s="200">
        <v>0</v>
      </c>
      <c r="I176" s="202">
        <v>0</v>
      </c>
      <c r="J176" s="203">
        <v>15342.7</v>
      </c>
      <c r="K176" s="203">
        <v>12176.35</v>
      </c>
      <c r="L176" s="204">
        <v>-20.637501873855317</v>
      </c>
      <c r="M176" s="200">
        <v>0</v>
      </c>
      <c r="N176" s="200">
        <v>0</v>
      </c>
      <c r="O176" s="202">
        <v>0</v>
      </c>
    </row>
    <row r="177" spans="1:15" ht="18.75">
      <c r="A177" s="221" t="str">
        <f>INDEX(Lookup!$A$1:$A$126,MATCH(DataYY03!C177,Lookup!$C$1:$C$126,0))</f>
        <v>Middle School</v>
      </c>
      <c r="B177" s="223" t="s">
        <v>148</v>
      </c>
      <c r="C177" s="199" t="s">
        <v>82</v>
      </c>
      <c r="D177" s="199" t="s">
        <v>23</v>
      </c>
      <c r="E177" s="200">
        <v>226178</v>
      </c>
      <c r="F177" s="201">
        <v>36526</v>
      </c>
      <c r="G177" s="200">
        <v>0</v>
      </c>
      <c r="H177" s="200">
        <v>0</v>
      </c>
      <c r="I177" s="202">
        <v>0</v>
      </c>
      <c r="J177" s="203">
        <v>55048.66</v>
      </c>
      <c r="K177" s="203">
        <v>57014.08</v>
      </c>
      <c r="L177" s="204">
        <v>3.5703321388749516</v>
      </c>
      <c r="M177" s="200">
        <v>0</v>
      </c>
      <c r="N177" s="200">
        <v>0</v>
      </c>
      <c r="O177" s="202">
        <v>0</v>
      </c>
    </row>
    <row r="178" spans="1:15" ht="18.75">
      <c r="A178" s="221" t="str">
        <f>INDEX(Lookup!$A$1:$A$126,MATCH(DataYY03!C178,Lookup!$C$1:$C$126,0))</f>
        <v>Elementary School</v>
      </c>
      <c r="B178" s="224" t="s">
        <v>148</v>
      </c>
      <c r="C178" s="199" t="s">
        <v>83</v>
      </c>
      <c r="D178" s="199" t="s">
        <v>17</v>
      </c>
      <c r="E178" s="200">
        <v>87881</v>
      </c>
      <c r="F178" s="201">
        <v>36526</v>
      </c>
      <c r="G178" s="200">
        <v>0</v>
      </c>
      <c r="H178" s="200">
        <v>0</v>
      </c>
      <c r="I178" s="202">
        <v>0</v>
      </c>
      <c r="J178" s="203">
        <v>13558.62</v>
      </c>
      <c r="K178" s="203">
        <v>14805.06</v>
      </c>
      <c r="L178" s="204">
        <v>9.19297096607177</v>
      </c>
      <c r="M178" s="200">
        <v>0</v>
      </c>
      <c r="N178" s="200">
        <v>0</v>
      </c>
      <c r="O178" s="202">
        <v>0</v>
      </c>
    </row>
    <row r="179" spans="1:15" ht="18.75">
      <c r="A179" s="221" t="str">
        <f>INDEX(Lookup!$A$1:$A$126,MATCH(DataYY03!C179,Lookup!$C$1:$C$126,0))</f>
        <v>Administration</v>
      </c>
      <c r="B179" s="223" t="s">
        <v>148</v>
      </c>
      <c r="C179" s="199" t="s">
        <v>84</v>
      </c>
      <c r="D179" s="199" t="s">
        <v>17</v>
      </c>
      <c r="E179" s="200">
        <v>132467</v>
      </c>
      <c r="F179" s="201">
        <v>36526</v>
      </c>
      <c r="G179" s="200">
        <v>0</v>
      </c>
      <c r="H179" s="200">
        <v>0</v>
      </c>
      <c r="I179" s="202">
        <v>0</v>
      </c>
      <c r="J179" s="203">
        <v>14156.37</v>
      </c>
      <c r="K179" s="203">
        <v>15246.42</v>
      </c>
      <c r="L179" s="204">
        <v>7.7000671782384895</v>
      </c>
      <c r="M179" s="200">
        <v>0</v>
      </c>
      <c r="N179" s="200">
        <v>0</v>
      </c>
      <c r="O179" s="202">
        <v>0</v>
      </c>
    </row>
    <row r="180" spans="1:15" ht="18.75">
      <c r="A180" s="221" t="str">
        <f>INDEX(Lookup!$A$1:$A$126,MATCH(DataYY03!C180,Lookup!$C$1:$C$126,0))</f>
        <v>Administration</v>
      </c>
      <c r="B180" s="224" t="s">
        <v>148</v>
      </c>
      <c r="C180" s="199" t="s">
        <v>91</v>
      </c>
      <c r="D180" s="199" t="s">
        <v>17</v>
      </c>
      <c r="E180" s="200">
        <v>35364</v>
      </c>
      <c r="F180" s="201">
        <v>36526</v>
      </c>
      <c r="G180" s="200">
        <v>0</v>
      </c>
      <c r="H180" s="200">
        <v>0</v>
      </c>
      <c r="I180" s="202">
        <v>0</v>
      </c>
      <c r="J180" s="203">
        <v>2619.77</v>
      </c>
      <c r="K180" s="203">
        <v>2466.81</v>
      </c>
      <c r="L180" s="204">
        <v>-5.838680494852602</v>
      </c>
      <c r="M180" s="200">
        <v>0</v>
      </c>
      <c r="N180" s="200">
        <v>0</v>
      </c>
      <c r="O180" s="202">
        <v>0</v>
      </c>
    </row>
    <row r="181" spans="1:15" ht="18.75">
      <c r="A181" s="221" t="str">
        <f>INDEX(Lookup!$A$1:$A$126,MATCH(DataYY03!C181,Lookup!$C$1:$C$126,0))</f>
        <v>Administration</v>
      </c>
      <c r="B181" s="223" t="s">
        <v>148</v>
      </c>
      <c r="C181" s="199" t="s">
        <v>92</v>
      </c>
      <c r="D181" s="199" t="s">
        <v>23</v>
      </c>
      <c r="E181" s="200">
        <v>12152</v>
      </c>
      <c r="F181" s="201">
        <v>36526</v>
      </c>
      <c r="G181" s="200">
        <v>0</v>
      </c>
      <c r="H181" s="200">
        <v>0</v>
      </c>
      <c r="I181" s="202">
        <v>0</v>
      </c>
      <c r="J181" s="203">
        <v>57843.87</v>
      </c>
      <c r="K181" s="203">
        <v>104532.28</v>
      </c>
      <c r="L181" s="204">
        <v>80.71453379588883</v>
      </c>
      <c r="M181" s="200">
        <v>0</v>
      </c>
      <c r="N181" s="200">
        <v>0</v>
      </c>
      <c r="O181" s="202">
        <v>0</v>
      </c>
    </row>
    <row r="182" spans="1:15" ht="18.75">
      <c r="A182" s="221" t="str">
        <f>INDEX(Lookup!$A$1:$A$126,MATCH(DataYY03!C182,Lookup!$C$1:$C$126,0))</f>
        <v>High School</v>
      </c>
      <c r="B182" s="224" t="s">
        <v>148</v>
      </c>
      <c r="C182" s="199" t="s">
        <v>93</v>
      </c>
      <c r="D182" s="199" t="s">
        <v>17</v>
      </c>
      <c r="E182" s="200">
        <v>513473</v>
      </c>
      <c r="F182" s="201">
        <v>43952</v>
      </c>
      <c r="G182" s="200">
        <v>0</v>
      </c>
      <c r="H182" s="200">
        <v>0</v>
      </c>
      <c r="I182" s="202">
        <v>0</v>
      </c>
      <c r="J182" s="203">
        <v>56441.72</v>
      </c>
      <c r="K182" s="203">
        <v>64990.38</v>
      </c>
      <c r="L182" s="204">
        <v>15.145994842113247</v>
      </c>
      <c r="M182" s="200">
        <v>0</v>
      </c>
      <c r="N182" s="200">
        <v>0</v>
      </c>
      <c r="O182" s="202">
        <v>0</v>
      </c>
    </row>
    <row r="183" spans="1:15" ht="18.75">
      <c r="A183" s="221" t="str">
        <f>INDEX(Lookup!$A$1:$A$126,MATCH(DataYY03!C183,Lookup!$C$1:$C$126,0))</f>
        <v>Elementary School</v>
      </c>
      <c r="B183" s="223" t="s">
        <v>148</v>
      </c>
      <c r="C183" s="199" t="s">
        <v>95</v>
      </c>
      <c r="D183" s="199" t="s">
        <v>21</v>
      </c>
      <c r="E183" s="200">
        <v>73726</v>
      </c>
      <c r="F183" s="201">
        <v>36526</v>
      </c>
      <c r="G183" s="200">
        <v>0</v>
      </c>
      <c r="H183" s="200">
        <v>0</v>
      </c>
      <c r="I183" s="202">
        <v>0</v>
      </c>
      <c r="J183" s="203">
        <v>10020.7</v>
      </c>
      <c r="K183" s="203">
        <v>8052.95</v>
      </c>
      <c r="L183" s="204">
        <v>-19.63685171694592</v>
      </c>
      <c r="M183" s="200">
        <v>0</v>
      </c>
      <c r="N183" s="200">
        <v>0</v>
      </c>
      <c r="O183" s="202">
        <v>0</v>
      </c>
    </row>
    <row r="184" spans="1:15" ht="18.75">
      <c r="A184" s="221" t="str">
        <f>INDEX(Lookup!$A$1:$A$126,MATCH(DataYY03!C184,Lookup!$C$1:$C$126,0))</f>
        <v>Middle School</v>
      </c>
      <c r="B184" s="224" t="s">
        <v>148</v>
      </c>
      <c r="C184" s="199" t="s">
        <v>96</v>
      </c>
      <c r="D184" s="199" t="s">
        <v>17</v>
      </c>
      <c r="E184" s="200">
        <v>221601</v>
      </c>
      <c r="F184" s="201">
        <v>36526</v>
      </c>
      <c r="G184" s="200">
        <v>0</v>
      </c>
      <c r="H184" s="200">
        <v>0</v>
      </c>
      <c r="I184" s="202">
        <v>0</v>
      </c>
      <c r="J184" s="203">
        <v>36797.95</v>
      </c>
      <c r="K184" s="203">
        <v>37709.22</v>
      </c>
      <c r="L184" s="204">
        <v>2.4764151263861165</v>
      </c>
      <c r="M184" s="200">
        <v>0</v>
      </c>
      <c r="N184" s="200">
        <v>0</v>
      </c>
      <c r="O184" s="202">
        <v>0</v>
      </c>
    </row>
    <row r="185" spans="1:15" ht="18.75">
      <c r="A185" s="221" t="str">
        <f>INDEX(Lookup!$A$1:$A$126,MATCH(DataYY03!C185,Lookup!$C$1:$C$126,0))</f>
        <v>Elementary School</v>
      </c>
      <c r="B185" s="223" t="s">
        <v>148</v>
      </c>
      <c r="C185" s="199" t="s">
        <v>97</v>
      </c>
      <c r="D185" s="199" t="s">
        <v>23</v>
      </c>
      <c r="E185" s="200">
        <v>95518</v>
      </c>
      <c r="F185" s="201">
        <v>36526</v>
      </c>
      <c r="G185" s="200">
        <v>0</v>
      </c>
      <c r="H185" s="200">
        <v>0</v>
      </c>
      <c r="I185" s="202">
        <v>0</v>
      </c>
      <c r="J185" s="203">
        <v>13139.8</v>
      </c>
      <c r="K185" s="203">
        <v>14048.4</v>
      </c>
      <c r="L185" s="204">
        <v>6.914869328300279</v>
      </c>
      <c r="M185" s="200">
        <v>0</v>
      </c>
      <c r="N185" s="200">
        <v>0</v>
      </c>
      <c r="O185" s="202">
        <v>0</v>
      </c>
    </row>
    <row r="186" spans="1:15" ht="18.75">
      <c r="A186" s="221" t="str">
        <f>INDEX(Lookup!$A$1:$A$126,MATCH(DataYY03!C186,Lookup!$C$1:$C$126,0))</f>
        <v>Elementary School</v>
      </c>
      <c r="B186" s="224" t="s">
        <v>148</v>
      </c>
      <c r="C186" s="199" t="s">
        <v>98</v>
      </c>
      <c r="D186" s="199" t="s">
        <v>17</v>
      </c>
      <c r="E186" s="200">
        <v>93897</v>
      </c>
      <c r="F186" s="201">
        <v>36526</v>
      </c>
      <c r="G186" s="200">
        <v>0</v>
      </c>
      <c r="H186" s="200">
        <v>0</v>
      </c>
      <c r="I186" s="202">
        <v>0</v>
      </c>
      <c r="J186" s="203">
        <v>15736.98</v>
      </c>
      <c r="K186" s="203">
        <v>16334.6</v>
      </c>
      <c r="L186" s="204">
        <v>3.797552008072705</v>
      </c>
      <c r="M186" s="200">
        <v>0</v>
      </c>
      <c r="N186" s="200">
        <v>0</v>
      </c>
      <c r="O186" s="202">
        <v>0</v>
      </c>
    </row>
    <row r="187" spans="1:15" ht="18.75">
      <c r="A187" s="221" t="str">
        <f>INDEX(Lookup!$A$1:$A$126,MATCH(DataYY03!C187,Lookup!$C$1:$C$126,0))</f>
        <v>Middle School</v>
      </c>
      <c r="B187" s="223" t="s">
        <v>148</v>
      </c>
      <c r="C187" s="199" t="s">
        <v>99</v>
      </c>
      <c r="D187" s="199" t="s">
        <v>17</v>
      </c>
      <c r="E187" s="200">
        <v>190510</v>
      </c>
      <c r="F187" s="201">
        <v>43952</v>
      </c>
      <c r="G187" s="200">
        <v>0</v>
      </c>
      <c r="H187" s="200">
        <v>0</v>
      </c>
      <c r="I187" s="202">
        <v>0</v>
      </c>
      <c r="J187" s="203">
        <v>24573.5</v>
      </c>
      <c r="K187" s="203">
        <v>32478.4</v>
      </c>
      <c r="L187" s="204">
        <v>32.16839278084115</v>
      </c>
      <c r="M187" s="200">
        <v>0</v>
      </c>
      <c r="N187" s="200">
        <v>0</v>
      </c>
      <c r="O187" s="202">
        <v>0</v>
      </c>
    </row>
    <row r="188" spans="1:15" ht="18.75">
      <c r="A188" s="221" t="str">
        <f>INDEX(Lookup!$A$1:$A$126,MATCH(DataYY03!C188,Lookup!$C$1:$C$126,0))</f>
        <v>High School</v>
      </c>
      <c r="B188" s="224" t="s">
        <v>148</v>
      </c>
      <c r="C188" s="199" t="s">
        <v>101</v>
      </c>
      <c r="D188" s="199" t="s">
        <v>17</v>
      </c>
      <c r="E188" s="200">
        <v>535686</v>
      </c>
      <c r="F188" s="201">
        <v>36526</v>
      </c>
      <c r="G188" s="200">
        <v>0</v>
      </c>
      <c r="H188" s="200">
        <v>0</v>
      </c>
      <c r="I188" s="202">
        <v>0</v>
      </c>
      <c r="J188" s="203">
        <v>44641.36</v>
      </c>
      <c r="K188" s="203">
        <v>67134.53</v>
      </c>
      <c r="L188" s="204">
        <v>50.38639055799376</v>
      </c>
      <c r="M188" s="200">
        <v>0</v>
      </c>
      <c r="N188" s="200">
        <v>0</v>
      </c>
      <c r="O188" s="202">
        <v>0</v>
      </c>
    </row>
    <row r="189" spans="1:15" ht="18.75">
      <c r="A189" s="221" t="str">
        <f>INDEX(Lookup!$A$1:$A$126,MATCH(DataYY03!C189,Lookup!$C$1:$C$126,0))</f>
        <v>Elementary School</v>
      </c>
      <c r="B189" s="223" t="s">
        <v>148</v>
      </c>
      <c r="C189" s="199" t="s">
        <v>103</v>
      </c>
      <c r="D189" s="199" t="s">
        <v>17</v>
      </c>
      <c r="E189" s="200">
        <v>95352</v>
      </c>
      <c r="F189" s="201">
        <v>36526</v>
      </c>
      <c r="G189" s="200">
        <v>0</v>
      </c>
      <c r="H189" s="200">
        <v>0</v>
      </c>
      <c r="I189" s="202">
        <v>0</v>
      </c>
      <c r="J189" s="203">
        <v>14718.44</v>
      </c>
      <c r="K189" s="203">
        <v>17065.6</v>
      </c>
      <c r="L189" s="204">
        <v>15.947070477577785</v>
      </c>
      <c r="M189" s="200">
        <v>0</v>
      </c>
      <c r="N189" s="200">
        <v>0</v>
      </c>
      <c r="O189" s="202">
        <v>0</v>
      </c>
    </row>
    <row r="190" spans="1:15" ht="18.75">
      <c r="A190" s="221" t="str">
        <f>INDEX(Lookup!$A$1:$A$126,MATCH(DataYY03!C190,Lookup!$C$1:$C$126,0))</f>
        <v>Elementary School</v>
      </c>
      <c r="B190" s="224" t="s">
        <v>148</v>
      </c>
      <c r="C190" s="199" t="s">
        <v>104</v>
      </c>
      <c r="D190" s="199" t="s">
        <v>17</v>
      </c>
      <c r="E190" s="200">
        <v>88406</v>
      </c>
      <c r="F190" s="201">
        <v>36526</v>
      </c>
      <c r="G190" s="200">
        <v>0</v>
      </c>
      <c r="H190" s="200">
        <v>0</v>
      </c>
      <c r="I190" s="202">
        <v>0</v>
      </c>
      <c r="J190" s="203">
        <v>14858.32</v>
      </c>
      <c r="K190" s="203">
        <v>14361.07</v>
      </c>
      <c r="L190" s="204">
        <v>-3.346609845527624</v>
      </c>
      <c r="M190" s="200">
        <v>0</v>
      </c>
      <c r="N190" s="200">
        <v>0</v>
      </c>
      <c r="O190" s="202">
        <v>0</v>
      </c>
    </row>
    <row r="191" spans="1:15" ht="18.75">
      <c r="A191" s="221" t="str">
        <f>INDEX(Lookup!$A$1:$A$126,MATCH(DataYY03!C191,Lookup!$C$1:$C$126,0))</f>
        <v>Elementary School</v>
      </c>
      <c r="B191" s="223" t="s">
        <v>148</v>
      </c>
      <c r="C191" s="199" t="s">
        <v>105</v>
      </c>
      <c r="D191" s="199" t="s">
        <v>17</v>
      </c>
      <c r="E191" s="200">
        <v>78614</v>
      </c>
      <c r="F191" s="201">
        <v>43956</v>
      </c>
      <c r="G191" s="200">
        <v>0</v>
      </c>
      <c r="H191" s="200">
        <v>0</v>
      </c>
      <c r="I191" s="202">
        <v>0</v>
      </c>
      <c r="J191" s="203">
        <v>11496.4</v>
      </c>
      <c r="K191" s="203">
        <v>11260.81</v>
      </c>
      <c r="L191" s="204">
        <v>-2.0492502000626285</v>
      </c>
      <c r="M191" s="200">
        <v>0</v>
      </c>
      <c r="N191" s="200">
        <v>0</v>
      </c>
      <c r="O191" s="202">
        <v>0</v>
      </c>
    </row>
    <row r="192" spans="1:15" ht="18.75">
      <c r="A192" s="221" t="str">
        <f>INDEX(Lookup!$A$1:$A$126,MATCH(DataYY03!C192,Lookup!$C$1:$C$126,0))</f>
        <v>Administration</v>
      </c>
      <c r="B192" s="224" t="s">
        <v>148</v>
      </c>
      <c r="C192" s="199" t="s">
        <v>106</v>
      </c>
      <c r="D192" s="199" t="s">
        <v>17</v>
      </c>
      <c r="E192" s="200">
        <v>36679</v>
      </c>
      <c r="F192" s="201">
        <v>43952</v>
      </c>
      <c r="G192" s="200">
        <v>0</v>
      </c>
      <c r="H192" s="200">
        <v>0</v>
      </c>
      <c r="I192" s="202">
        <v>0</v>
      </c>
      <c r="J192" s="203">
        <v>5837.07</v>
      </c>
      <c r="K192" s="203">
        <v>5886.4</v>
      </c>
      <c r="L192" s="204">
        <v>0.8451157858309049</v>
      </c>
      <c r="M192" s="200">
        <v>0</v>
      </c>
      <c r="N192" s="200">
        <v>0</v>
      </c>
      <c r="O192" s="202">
        <v>0</v>
      </c>
    </row>
    <row r="193" spans="1:15" ht="18.75">
      <c r="A193" s="221" t="str">
        <f>INDEX(Lookup!$A$1:$A$126,MATCH(DataYY03!C193,Lookup!$C$1:$C$126,0))</f>
        <v>Elementary School</v>
      </c>
      <c r="B193" s="223" t="s">
        <v>148</v>
      </c>
      <c r="C193" s="199" t="s">
        <v>107</v>
      </c>
      <c r="D193" s="199" t="s">
        <v>17</v>
      </c>
      <c r="E193" s="200">
        <v>124682</v>
      </c>
      <c r="F193" s="201">
        <v>36526</v>
      </c>
      <c r="G193" s="200">
        <v>0</v>
      </c>
      <c r="H193" s="200">
        <v>0</v>
      </c>
      <c r="I193" s="202">
        <v>0</v>
      </c>
      <c r="J193" s="203">
        <v>18880.62</v>
      </c>
      <c r="K193" s="203">
        <v>21247.98</v>
      </c>
      <c r="L193" s="204">
        <v>12.538571296917157</v>
      </c>
      <c r="M193" s="200">
        <v>0</v>
      </c>
      <c r="N193" s="200">
        <v>0</v>
      </c>
      <c r="O193" s="202">
        <v>0</v>
      </c>
    </row>
    <row r="194" spans="1:15" ht="18.75">
      <c r="A194" s="221" t="str">
        <f>INDEX(Lookup!$A$1:$A$126,MATCH(DataYY03!C194,Lookup!$C$1:$C$126,0))</f>
        <v>Elementary School</v>
      </c>
      <c r="B194" s="224" t="s">
        <v>148</v>
      </c>
      <c r="C194" s="199" t="s">
        <v>108</v>
      </c>
      <c r="D194" s="199" t="s">
        <v>21</v>
      </c>
      <c r="E194" s="200">
        <v>107075</v>
      </c>
      <c r="F194" s="201">
        <v>36526</v>
      </c>
      <c r="G194" s="200">
        <v>0</v>
      </c>
      <c r="H194" s="200">
        <v>0</v>
      </c>
      <c r="I194" s="202">
        <v>0</v>
      </c>
      <c r="J194" s="203">
        <v>19727.52</v>
      </c>
      <c r="K194" s="203">
        <v>20454.78</v>
      </c>
      <c r="L194" s="204">
        <v>3.6865252195917173</v>
      </c>
      <c r="M194" s="200">
        <v>0</v>
      </c>
      <c r="N194" s="200">
        <v>0</v>
      </c>
      <c r="O194" s="202">
        <v>0</v>
      </c>
    </row>
    <row r="195" spans="1:15" ht="18.75">
      <c r="A195" s="221" t="str">
        <f>INDEX(Lookup!$A$1:$A$126,MATCH(DataYY03!C195,Lookup!$C$1:$C$126,0))</f>
        <v>Elementary School</v>
      </c>
      <c r="B195" s="223" t="s">
        <v>148</v>
      </c>
      <c r="C195" s="199" t="s">
        <v>109</v>
      </c>
      <c r="D195" s="199" t="s">
        <v>17</v>
      </c>
      <c r="E195" s="200">
        <v>85120</v>
      </c>
      <c r="F195" s="201">
        <v>43956</v>
      </c>
      <c r="G195" s="200">
        <v>0</v>
      </c>
      <c r="H195" s="200">
        <v>0</v>
      </c>
      <c r="I195" s="202">
        <v>0</v>
      </c>
      <c r="J195" s="203">
        <v>29900.95</v>
      </c>
      <c r="K195" s="203">
        <v>14112.07</v>
      </c>
      <c r="L195" s="204">
        <v>-52.803941011907646</v>
      </c>
      <c r="M195" s="200">
        <v>0</v>
      </c>
      <c r="N195" s="200">
        <v>0</v>
      </c>
      <c r="O195" s="202">
        <v>0</v>
      </c>
    </row>
    <row r="196" spans="1:15" ht="18.75">
      <c r="A196" s="221" t="str">
        <f>INDEX(Lookup!$A$1:$A$126,MATCH(DataYY03!C196,Lookup!$C$1:$C$126,0))</f>
        <v>Elementary School</v>
      </c>
      <c r="B196" s="224" t="s">
        <v>148</v>
      </c>
      <c r="C196" s="199" t="s">
        <v>110</v>
      </c>
      <c r="D196" s="199" t="s">
        <v>23</v>
      </c>
      <c r="E196" s="200">
        <v>74252</v>
      </c>
      <c r="F196" s="201">
        <v>36526</v>
      </c>
      <c r="G196" s="200">
        <v>0</v>
      </c>
      <c r="H196" s="200">
        <v>0</v>
      </c>
      <c r="I196" s="202">
        <v>0</v>
      </c>
      <c r="J196" s="203">
        <v>15683.81</v>
      </c>
      <c r="K196" s="203">
        <v>16683.24</v>
      </c>
      <c r="L196" s="204">
        <v>6.372367428577622</v>
      </c>
      <c r="M196" s="200">
        <v>0</v>
      </c>
      <c r="N196" s="200">
        <v>0</v>
      </c>
      <c r="O196" s="202">
        <v>0</v>
      </c>
    </row>
    <row r="197" spans="1:15" ht="18.75">
      <c r="A197" s="221" t="str">
        <f>INDEX(Lookup!$A$1:$A$126,MATCH(DataYY03!C197,Lookup!$C$1:$C$126,0))</f>
        <v>Elementary School</v>
      </c>
      <c r="B197" s="223" t="s">
        <v>148</v>
      </c>
      <c r="C197" s="199" t="s">
        <v>113</v>
      </c>
      <c r="D197" s="199" t="s">
        <v>17</v>
      </c>
      <c r="E197" s="200">
        <v>83063</v>
      </c>
      <c r="F197" s="201">
        <v>43952</v>
      </c>
      <c r="G197" s="200">
        <v>0</v>
      </c>
      <c r="H197" s="200">
        <v>0</v>
      </c>
      <c r="I197" s="202">
        <v>0</v>
      </c>
      <c r="J197" s="203">
        <v>11870.6</v>
      </c>
      <c r="K197" s="203">
        <v>9886.1</v>
      </c>
      <c r="L197" s="204">
        <v>-16.717773322325744</v>
      </c>
      <c r="M197" s="200">
        <v>0</v>
      </c>
      <c r="N197" s="200">
        <v>0</v>
      </c>
      <c r="O197" s="202">
        <v>0</v>
      </c>
    </row>
    <row r="198" spans="1:15" ht="18.75">
      <c r="A198" s="221" t="str">
        <f>INDEX(Lookup!$A$1:$A$126,MATCH(DataYY03!C198,Lookup!$C$1:$C$126,0))</f>
        <v>Elementary School</v>
      </c>
      <c r="B198" s="224" t="s">
        <v>148</v>
      </c>
      <c r="C198" s="199" t="s">
        <v>114</v>
      </c>
      <c r="D198" s="199" t="s">
        <v>17</v>
      </c>
      <c r="E198" s="200">
        <v>85590</v>
      </c>
      <c r="F198" s="201">
        <v>43952</v>
      </c>
      <c r="G198" s="200">
        <v>0</v>
      </c>
      <c r="H198" s="200">
        <v>0</v>
      </c>
      <c r="I198" s="202">
        <v>0</v>
      </c>
      <c r="J198" s="203">
        <v>11979.09</v>
      </c>
      <c r="K198" s="203">
        <v>10452.6</v>
      </c>
      <c r="L198" s="204">
        <v>-12.74295459838769</v>
      </c>
      <c r="M198" s="200">
        <v>0</v>
      </c>
      <c r="N198" s="200">
        <v>0</v>
      </c>
      <c r="O198" s="202">
        <v>0</v>
      </c>
    </row>
    <row r="199" spans="1:15" ht="18.75">
      <c r="A199" s="221" t="str">
        <f>INDEX(Lookup!$A$1:$A$126,MATCH(DataYY03!C199,Lookup!$C$1:$C$126,0))</f>
        <v>Elementary School</v>
      </c>
      <c r="B199" s="223" t="s">
        <v>148</v>
      </c>
      <c r="C199" s="199" t="s">
        <v>115</v>
      </c>
      <c r="D199" s="199" t="s">
        <v>23</v>
      </c>
      <c r="E199" s="200">
        <v>112970</v>
      </c>
      <c r="F199" s="201">
        <v>36526</v>
      </c>
      <c r="G199" s="200">
        <v>0</v>
      </c>
      <c r="H199" s="200">
        <v>0</v>
      </c>
      <c r="I199" s="202">
        <v>0</v>
      </c>
      <c r="J199" s="203">
        <v>13028.4</v>
      </c>
      <c r="K199" s="203">
        <v>16211.05</v>
      </c>
      <c r="L199" s="204">
        <v>24.42855607749225</v>
      </c>
      <c r="M199" s="200">
        <v>0</v>
      </c>
      <c r="N199" s="200">
        <v>0</v>
      </c>
      <c r="O199" s="202">
        <v>0</v>
      </c>
    </row>
    <row r="200" spans="1:15" ht="18.75">
      <c r="A200" s="221" t="str">
        <f>INDEX(Lookup!$A$1:$A$126,MATCH(DataYY03!C200,Lookup!$C$1:$C$126,0))</f>
        <v>Elementary School</v>
      </c>
      <c r="B200" s="224" t="s">
        <v>148</v>
      </c>
      <c r="C200" s="199" t="s">
        <v>116</v>
      </c>
      <c r="D200" s="199" t="s">
        <v>17</v>
      </c>
      <c r="E200" s="200">
        <v>104852</v>
      </c>
      <c r="F200" s="201">
        <v>36526</v>
      </c>
      <c r="G200" s="200">
        <v>0</v>
      </c>
      <c r="H200" s="200">
        <v>0</v>
      </c>
      <c r="I200" s="202">
        <v>0</v>
      </c>
      <c r="J200" s="203">
        <v>22487.24</v>
      </c>
      <c r="K200" s="203">
        <v>23845.75</v>
      </c>
      <c r="L200" s="204">
        <v>6.0412482812474995</v>
      </c>
      <c r="M200" s="200">
        <v>0</v>
      </c>
      <c r="N200" s="200">
        <v>0</v>
      </c>
      <c r="O200" s="202">
        <v>0</v>
      </c>
    </row>
    <row r="201" spans="1:15" ht="18.75">
      <c r="A201" s="221" t="str">
        <f>INDEX(Lookup!$A$1:$A$126,MATCH(DataYY03!C201,Lookup!$C$1:$C$126,0))</f>
        <v>Elementary School</v>
      </c>
      <c r="B201" s="223" t="s">
        <v>148</v>
      </c>
      <c r="C201" s="199" t="s">
        <v>117</v>
      </c>
      <c r="D201" s="199" t="s">
        <v>23</v>
      </c>
      <c r="E201" s="200">
        <v>100456</v>
      </c>
      <c r="F201" s="201">
        <v>36526</v>
      </c>
      <c r="G201" s="200">
        <v>0</v>
      </c>
      <c r="H201" s="200">
        <v>0</v>
      </c>
      <c r="I201" s="202">
        <v>0</v>
      </c>
      <c r="J201" s="203">
        <v>13805.35</v>
      </c>
      <c r="K201" s="203">
        <v>17074.66</v>
      </c>
      <c r="L201" s="204">
        <v>23.681471313657383</v>
      </c>
      <c r="M201" s="200">
        <v>0</v>
      </c>
      <c r="N201" s="200">
        <v>0</v>
      </c>
      <c r="O201" s="202">
        <v>0</v>
      </c>
    </row>
    <row r="202" spans="1:15" ht="18.75">
      <c r="A202" s="221" t="str">
        <f>INDEX(Lookup!$A$1:$A$126,MATCH(DataYY03!C202,Lookup!$C$1:$C$126,0))</f>
        <v>Elementary School</v>
      </c>
      <c r="B202" s="224" t="s">
        <v>148</v>
      </c>
      <c r="C202" s="199" t="s">
        <v>120</v>
      </c>
      <c r="D202" s="199" t="s">
        <v>17</v>
      </c>
      <c r="E202" s="200">
        <v>90012</v>
      </c>
      <c r="F202" s="201">
        <v>36526</v>
      </c>
      <c r="G202" s="200">
        <v>0</v>
      </c>
      <c r="H202" s="200">
        <v>0</v>
      </c>
      <c r="I202" s="202">
        <v>0</v>
      </c>
      <c r="J202" s="203">
        <v>11331.6</v>
      </c>
      <c r="K202" s="203">
        <v>10010.8</v>
      </c>
      <c r="L202" s="204">
        <v>-11.655900314165697</v>
      </c>
      <c r="M202" s="200">
        <v>0</v>
      </c>
      <c r="N202" s="200">
        <v>0</v>
      </c>
      <c r="O202" s="202">
        <v>0</v>
      </c>
    </row>
    <row r="203" spans="1:15" ht="18.75">
      <c r="A203" s="221" t="str">
        <f>INDEX(Lookup!$A$1:$A$126,MATCH(DataYY03!C203,Lookup!$C$1:$C$126,0))</f>
        <v>Elementary School</v>
      </c>
      <c r="B203" s="223" t="s">
        <v>148</v>
      </c>
      <c r="C203" s="199" t="s">
        <v>121</v>
      </c>
      <c r="D203" s="199" t="s">
        <v>23</v>
      </c>
      <c r="E203" s="200">
        <v>110549</v>
      </c>
      <c r="F203" s="201">
        <v>36526</v>
      </c>
      <c r="G203" s="200">
        <v>0</v>
      </c>
      <c r="H203" s="200">
        <v>0</v>
      </c>
      <c r="I203" s="202">
        <v>0</v>
      </c>
      <c r="J203" s="203">
        <v>15942.51</v>
      </c>
      <c r="K203" s="203">
        <v>18244.26</v>
      </c>
      <c r="L203" s="204">
        <v>14.437814371764546</v>
      </c>
      <c r="M203" s="200">
        <v>0</v>
      </c>
      <c r="N203" s="200">
        <v>0</v>
      </c>
      <c r="O203" s="202">
        <v>0</v>
      </c>
    </row>
    <row r="204" spans="1:15" ht="18.75">
      <c r="A204" s="221" t="str">
        <f>INDEX(Lookup!$A$1:$A$126,MATCH(DataYY03!C204,Lookup!$C$1:$C$126,0))</f>
        <v>Elementary School</v>
      </c>
      <c r="B204" s="224" t="s">
        <v>148</v>
      </c>
      <c r="C204" s="199" t="s">
        <v>122</v>
      </c>
      <c r="D204" s="199" t="s">
        <v>21</v>
      </c>
      <c r="E204" s="200">
        <v>98532</v>
      </c>
      <c r="F204" s="201">
        <v>43956</v>
      </c>
      <c r="G204" s="200">
        <v>0</v>
      </c>
      <c r="H204" s="200">
        <v>0</v>
      </c>
      <c r="I204" s="202">
        <v>0</v>
      </c>
      <c r="J204" s="203">
        <v>12191.7</v>
      </c>
      <c r="K204" s="203">
        <v>13800.3</v>
      </c>
      <c r="L204" s="204">
        <v>13.194222298777039</v>
      </c>
      <c r="M204" s="200">
        <v>0</v>
      </c>
      <c r="N204" s="200">
        <v>0</v>
      </c>
      <c r="O204" s="202">
        <v>0</v>
      </c>
    </row>
    <row r="205" spans="1:15" ht="18.75">
      <c r="A205" s="221" t="str">
        <f>INDEX(Lookup!$A$1:$A$126,MATCH(DataYY03!C205,Lookup!$C$1:$C$126,0))</f>
        <v>Elementary School</v>
      </c>
      <c r="B205" s="223" t="s">
        <v>148</v>
      </c>
      <c r="C205" s="199" t="s">
        <v>123</v>
      </c>
      <c r="D205" s="199" t="s">
        <v>23</v>
      </c>
      <c r="E205" s="200">
        <v>93882</v>
      </c>
      <c r="F205" s="201">
        <v>43952</v>
      </c>
      <c r="G205" s="200">
        <v>0</v>
      </c>
      <c r="H205" s="200">
        <v>0</v>
      </c>
      <c r="I205" s="202">
        <v>0</v>
      </c>
      <c r="J205" s="203">
        <v>15055.35</v>
      </c>
      <c r="K205" s="203">
        <v>16465.9</v>
      </c>
      <c r="L205" s="204">
        <v>9.36909470719711</v>
      </c>
      <c r="M205" s="200">
        <v>0</v>
      </c>
      <c r="N205" s="200">
        <v>0</v>
      </c>
      <c r="O205" s="202">
        <v>0</v>
      </c>
    </row>
    <row r="206" spans="1:15" ht="18.75">
      <c r="A206" s="221" t="str">
        <f>INDEX(Lookup!$A$1:$A$126,MATCH(DataYY03!C206,Lookup!$C$1:$C$126,0))</f>
        <v>Middle School</v>
      </c>
      <c r="B206" s="224" t="s">
        <v>148</v>
      </c>
      <c r="C206" s="199" t="s">
        <v>124</v>
      </c>
      <c r="D206" s="199" t="s">
        <v>23</v>
      </c>
      <c r="E206" s="200">
        <v>242116</v>
      </c>
      <c r="F206" s="201">
        <v>43952</v>
      </c>
      <c r="G206" s="200">
        <v>0</v>
      </c>
      <c r="H206" s="200">
        <v>0</v>
      </c>
      <c r="I206" s="202">
        <v>0</v>
      </c>
      <c r="J206" s="203">
        <v>26479.2</v>
      </c>
      <c r="K206" s="203">
        <v>25974.6</v>
      </c>
      <c r="L206" s="204">
        <v>-1.9056466962748118</v>
      </c>
      <c r="M206" s="200">
        <v>0</v>
      </c>
      <c r="N206" s="200">
        <v>0</v>
      </c>
      <c r="O206" s="202">
        <v>0</v>
      </c>
    </row>
    <row r="207" spans="1:15" ht="18.75">
      <c r="A207" s="221" t="str">
        <f>INDEX(Lookup!$A$1:$A$126,MATCH(DataYY03!C207,Lookup!$C$1:$C$126,0))</f>
        <v>Elementary School</v>
      </c>
      <c r="B207" s="223" t="s">
        <v>148</v>
      </c>
      <c r="C207" s="199" t="s">
        <v>125</v>
      </c>
      <c r="D207" s="199" t="s">
        <v>23</v>
      </c>
      <c r="E207" s="200">
        <v>96096</v>
      </c>
      <c r="F207" s="201">
        <v>36526</v>
      </c>
      <c r="G207" s="200">
        <v>0</v>
      </c>
      <c r="H207" s="200">
        <v>0</v>
      </c>
      <c r="I207" s="202">
        <v>0</v>
      </c>
      <c r="J207" s="203">
        <v>15344.9</v>
      </c>
      <c r="K207" s="203">
        <v>16291.8</v>
      </c>
      <c r="L207" s="204">
        <v>6.170779868229836</v>
      </c>
      <c r="M207" s="200">
        <v>0</v>
      </c>
      <c r="N207" s="200">
        <v>0</v>
      </c>
      <c r="O207" s="202">
        <v>0</v>
      </c>
    </row>
    <row r="208" spans="1:15" ht="18.75">
      <c r="A208" s="221" t="str">
        <f>INDEX(Lookup!$A$1:$A$126,MATCH(DataYY03!C208,Lookup!$C$1:$C$126,0))</f>
        <v>Administration</v>
      </c>
      <c r="B208" s="224" t="s">
        <v>148</v>
      </c>
      <c r="C208" s="199" t="s">
        <v>126</v>
      </c>
      <c r="D208" s="199" t="s">
        <v>23</v>
      </c>
      <c r="E208" s="200">
        <v>22020</v>
      </c>
      <c r="F208" s="201">
        <v>36526</v>
      </c>
      <c r="G208" s="200">
        <v>0</v>
      </c>
      <c r="H208" s="200">
        <v>0</v>
      </c>
      <c r="I208" s="202">
        <v>0</v>
      </c>
      <c r="J208" s="203">
        <v>934.8</v>
      </c>
      <c r="K208" s="203">
        <v>1006.96</v>
      </c>
      <c r="L208" s="204">
        <v>7.719298245614035</v>
      </c>
      <c r="M208" s="200">
        <v>0</v>
      </c>
      <c r="N208" s="200">
        <v>0</v>
      </c>
      <c r="O208" s="202">
        <v>0</v>
      </c>
    </row>
    <row r="209" spans="1:15" ht="18.75">
      <c r="A209" s="221" t="str">
        <f>INDEX(Lookup!$A$1:$A$126,MATCH(DataYY03!C209,Lookup!$C$1:$C$126,0))</f>
        <v>Elementary School</v>
      </c>
      <c r="B209" s="223" t="s">
        <v>148</v>
      </c>
      <c r="C209" s="199" t="s">
        <v>127</v>
      </c>
      <c r="D209" s="199" t="s">
        <v>21</v>
      </c>
      <c r="E209" s="200">
        <v>91338</v>
      </c>
      <c r="F209" s="201">
        <v>36526</v>
      </c>
      <c r="G209" s="200">
        <v>0</v>
      </c>
      <c r="H209" s="200">
        <v>0</v>
      </c>
      <c r="I209" s="202">
        <v>0</v>
      </c>
      <c r="J209" s="203">
        <v>17860.73</v>
      </c>
      <c r="K209" s="203">
        <v>16229.76</v>
      </c>
      <c r="L209" s="204">
        <v>-9.13159764466514</v>
      </c>
      <c r="M209" s="200">
        <v>0</v>
      </c>
      <c r="N209" s="200">
        <v>0</v>
      </c>
      <c r="O209" s="202">
        <v>0</v>
      </c>
    </row>
    <row r="210" spans="1:15" ht="18.75">
      <c r="A210" s="221" t="str">
        <f>INDEX(Lookup!$A$1:$A$126,MATCH(DataYY03!C210,Lookup!$C$1:$C$126,0))</f>
        <v>Middle School</v>
      </c>
      <c r="B210" s="224" t="s">
        <v>148</v>
      </c>
      <c r="C210" s="199" t="s">
        <v>128</v>
      </c>
      <c r="D210" s="199" t="s">
        <v>23</v>
      </c>
      <c r="E210" s="200">
        <v>230087</v>
      </c>
      <c r="F210" s="201">
        <v>43952</v>
      </c>
      <c r="G210" s="200">
        <v>0</v>
      </c>
      <c r="H210" s="200">
        <v>0</v>
      </c>
      <c r="I210" s="202">
        <v>0</v>
      </c>
      <c r="J210" s="203">
        <v>23550.42</v>
      </c>
      <c r="K210" s="203">
        <v>20159.22</v>
      </c>
      <c r="L210" s="204">
        <v>-14.39974318929344</v>
      </c>
      <c r="M210" s="200">
        <v>0</v>
      </c>
      <c r="N210" s="200">
        <v>0</v>
      </c>
      <c r="O210" s="202">
        <v>0</v>
      </c>
    </row>
    <row r="211" spans="1:15" ht="18.75">
      <c r="A211" s="221" t="str">
        <f>INDEX(Lookup!$A$1:$A$126,MATCH(DataYY03!C211,Lookup!$C$1:$C$126,0))</f>
        <v>Middle School</v>
      </c>
      <c r="B211" s="223" t="s">
        <v>148</v>
      </c>
      <c r="C211" s="199" t="s">
        <v>129</v>
      </c>
      <c r="D211" s="199" t="s">
        <v>23</v>
      </c>
      <c r="E211" s="200">
        <v>235889</v>
      </c>
      <c r="F211" s="201">
        <v>36526</v>
      </c>
      <c r="G211" s="200">
        <v>0</v>
      </c>
      <c r="H211" s="200">
        <v>0</v>
      </c>
      <c r="I211" s="202">
        <v>0</v>
      </c>
      <c r="J211" s="203">
        <v>18558.58</v>
      </c>
      <c r="K211" s="203">
        <v>21729.72</v>
      </c>
      <c r="L211" s="204">
        <v>17.08719093809979</v>
      </c>
      <c r="M211" s="200">
        <v>0</v>
      </c>
      <c r="N211" s="200">
        <v>0</v>
      </c>
      <c r="O211" s="202">
        <v>0</v>
      </c>
    </row>
    <row r="212" spans="1:15" ht="18.75">
      <c r="A212" s="221" t="str">
        <f>INDEX(Lookup!$A$1:$A$126,MATCH(DataYY03!C212,Lookup!$C$1:$C$126,0))</f>
        <v>Elementary School</v>
      </c>
      <c r="B212" s="224" t="s">
        <v>148</v>
      </c>
      <c r="C212" s="199" t="s">
        <v>130</v>
      </c>
      <c r="D212" s="199" t="s">
        <v>23</v>
      </c>
      <c r="E212" s="200">
        <v>107914</v>
      </c>
      <c r="F212" s="201">
        <v>36526</v>
      </c>
      <c r="G212" s="200">
        <v>0</v>
      </c>
      <c r="H212" s="200">
        <v>0</v>
      </c>
      <c r="I212" s="202">
        <v>0</v>
      </c>
      <c r="J212" s="203">
        <v>12571.8</v>
      </c>
      <c r="K212" s="203">
        <v>14503.05</v>
      </c>
      <c r="L212" s="204">
        <v>15.361762038848852</v>
      </c>
      <c r="M212" s="200">
        <v>0</v>
      </c>
      <c r="N212" s="200">
        <v>0</v>
      </c>
      <c r="O212" s="202">
        <v>0</v>
      </c>
    </row>
    <row r="213" spans="1:15" ht="18.75">
      <c r="A213" s="221" t="str">
        <f>INDEX(Lookup!$A$1:$A$126,MATCH(DataYY03!C213,Lookup!$C$1:$C$126,0))</f>
        <v>Middle School</v>
      </c>
      <c r="B213" s="223" t="s">
        <v>148</v>
      </c>
      <c r="C213" s="199" t="s">
        <v>132</v>
      </c>
      <c r="D213" s="199" t="s">
        <v>21</v>
      </c>
      <c r="E213" s="200">
        <v>207347</v>
      </c>
      <c r="F213" s="201">
        <v>43952</v>
      </c>
      <c r="G213" s="200">
        <v>0</v>
      </c>
      <c r="H213" s="200">
        <v>0</v>
      </c>
      <c r="I213" s="202">
        <v>0</v>
      </c>
      <c r="J213" s="203">
        <v>40000.82</v>
      </c>
      <c r="K213" s="203">
        <v>61733.08</v>
      </c>
      <c r="L213" s="204">
        <v>54.32953624450699</v>
      </c>
      <c r="M213" s="200">
        <v>0</v>
      </c>
      <c r="N213" s="200">
        <v>0</v>
      </c>
      <c r="O213" s="202">
        <v>0</v>
      </c>
    </row>
    <row r="214" spans="1:15" ht="18.75">
      <c r="A214" s="221" t="str">
        <f>INDEX(Lookup!$A$1:$A$126,MATCH(DataYY03!C214,Lookup!$C$1:$C$126,0))</f>
        <v>Elementary School</v>
      </c>
      <c r="B214" s="224" t="s">
        <v>148</v>
      </c>
      <c r="C214" s="199" t="s">
        <v>133</v>
      </c>
      <c r="D214" s="199" t="s">
        <v>17</v>
      </c>
      <c r="E214" s="200">
        <v>101727</v>
      </c>
      <c r="F214" s="201">
        <v>36526</v>
      </c>
      <c r="G214" s="200">
        <v>0</v>
      </c>
      <c r="H214" s="200">
        <v>0</v>
      </c>
      <c r="I214" s="202">
        <v>0</v>
      </c>
      <c r="J214" s="203">
        <v>19726.6</v>
      </c>
      <c r="K214" s="203">
        <v>19551.09</v>
      </c>
      <c r="L214" s="204">
        <v>-0.8897123680715379</v>
      </c>
      <c r="M214" s="200">
        <v>0</v>
      </c>
      <c r="N214" s="200">
        <v>0</v>
      </c>
      <c r="O214" s="202">
        <v>0</v>
      </c>
    </row>
    <row r="215" spans="1:15" ht="18.75">
      <c r="A215" s="221" t="str">
        <f>INDEX(Lookup!$A$1:$A$126,MATCH(DataYY03!C215,Lookup!$C$1:$C$126,0))</f>
        <v>Middle School</v>
      </c>
      <c r="B215" s="223" t="s">
        <v>148</v>
      </c>
      <c r="C215" s="199" t="s">
        <v>134</v>
      </c>
      <c r="D215" s="199" t="s">
        <v>17</v>
      </c>
      <c r="E215" s="200">
        <v>209274</v>
      </c>
      <c r="F215" s="201">
        <v>43952</v>
      </c>
      <c r="G215" s="200">
        <v>0</v>
      </c>
      <c r="H215" s="200">
        <v>0</v>
      </c>
      <c r="I215" s="202">
        <v>0</v>
      </c>
      <c r="J215" s="203">
        <v>31033.44</v>
      </c>
      <c r="K215" s="203">
        <v>36118.76</v>
      </c>
      <c r="L215" s="204">
        <v>16.38658170025624</v>
      </c>
      <c r="M215" s="200">
        <v>0</v>
      </c>
      <c r="N215" s="200">
        <v>0</v>
      </c>
      <c r="O215" s="202">
        <v>0</v>
      </c>
    </row>
    <row r="216" spans="1:15" ht="18.75">
      <c r="A216" s="221" t="str">
        <f>INDEX(Lookup!$A$1:$A$126,MATCH(DataYY03!C216,Lookup!$C$1:$C$126,0))</f>
        <v>Elementary School</v>
      </c>
      <c r="B216" s="224" t="s">
        <v>148</v>
      </c>
      <c r="C216" s="199" t="s">
        <v>135</v>
      </c>
      <c r="D216" s="199" t="s">
        <v>21</v>
      </c>
      <c r="E216" s="200">
        <v>99857</v>
      </c>
      <c r="F216" s="201">
        <v>43952</v>
      </c>
      <c r="G216" s="200">
        <v>0</v>
      </c>
      <c r="H216" s="200">
        <v>0</v>
      </c>
      <c r="I216" s="202">
        <v>0</v>
      </c>
      <c r="J216" s="203">
        <v>13708.12</v>
      </c>
      <c r="K216" s="203">
        <v>13971.37</v>
      </c>
      <c r="L216" s="204">
        <v>1.92039462741791</v>
      </c>
      <c r="M216" s="200">
        <v>0</v>
      </c>
      <c r="N216" s="200">
        <v>0</v>
      </c>
      <c r="O216" s="202">
        <v>0</v>
      </c>
    </row>
    <row r="217" spans="1:15" ht="18.75">
      <c r="A217" s="221" t="str">
        <f>INDEX(Lookup!$A$1:$A$126,MATCH(DataYY03!C217,Lookup!$C$1:$C$126,0))</f>
        <v>Elementary School</v>
      </c>
      <c r="B217" s="223" t="s">
        <v>148</v>
      </c>
      <c r="C217" s="199" t="s">
        <v>136</v>
      </c>
      <c r="D217" s="199" t="s">
        <v>23</v>
      </c>
      <c r="E217" s="200">
        <v>101523</v>
      </c>
      <c r="F217" s="201">
        <v>43952</v>
      </c>
      <c r="G217" s="200">
        <v>0</v>
      </c>
      <c r="H217" s="200">
        <v>0</v>
      </c>
      <c r="I217" s="202">
        <v>0</v>
      </c>
      <c r="J217" s="203">
        <v>22902.9</v>
      </c>
      <c r="K217" s="203">
        <v>17013.05</v>
      </c>
      <c r="L217" s="204">
        <v>-25.716612306738448</v>
      </c>
      <c r="M217" s="200">
        <v>0</v>
      </c>
      <c r="N217" s="200">
        <v>0</v>
      </c>
      <c r="O217" s="202">
        <v>0</v>
      </c>
    </row>
    <row r="218" spans="1:15" ht="18.75">
      <c r="A218" s="221" t="str">
        <f>INDEX(Lookup!$A$1:$A$126,MATCH(DataYY03!C218,Lookup!$C$1:$C$126,0))</f>
        <v>Middle School</v>
      </c>
      <c r="B218" s="224" t="s">
        <v>148</v>
      </c>
      <c r="C218" s="199" t="s">
        <v>137</v>
      </c>
      <c r="D218" s="199" t="s">
        <v>17</v>
      </c>
      <c r="E218" s="200">
        <v>217165</v>
      </c>
      <c r="F218" s="201">
        <v>36526</v>
      </c>
      <c r="G218" s="200">
        <v>0</v>
      </c>
      <c r="H218" s="200">
        <v>0</v>
      </c>
      <c r="I218" s="202">
        <v>0</v>
      </c>
      <c r="J218" s="203">
        <v>64532.96</v>
      </c>
      <c r="K218" s="203">
        <v>45149.88</v>
      </c>
      <c r="L218" s="204">
        <v>-30.03593822443601</v>
      </c>
      <c r="M218" s="200">
        <v>0</v>
      </c>
      <c r="N218" s="200">
        <v>0</v>
      </c>
      <c r="O218" s="202">
        <v>0</v>
      </c>
    </row>
    <row r="219" spans="1:15" ht="18.75">
      <c r="A219" s="221" t="str">
        <f>INDEX(Lookup!$A$1:$A$126,MATCH(DataYY03!C219,Lookup!$C$1:$C$126,0))</f>
        <v>Elementary School</v>
      </c>
      <c r="B219" s="223" t="s">
        <v>148</v>
      </c>
      <c r="C219" s="199" t="s">
        <v>138</v>
      </c>
      <c r="D219" s="199" t="s">
        <v>23</v>
      </c>
      <c r="E219" s="200">
        <v>122878</v>
      </c>
      <c r="F219" s="201">
        <v>36526</v>
      </c>
      <c r="G219" s="200">
        <v>0</v>
      </c>
      <c r="H219" s="200">
        <v>0</v>
      </c>
      <c r="I219" s="202">
        <v>0</v>
      </c>
      <c r="J219" s="203">
        <v>16452.57</v>
      </c>
      <c r="K219" s="203">
        <v>17332.6</v>
      </c>
      <c r="L219" s="204">
        <v>5.348890781197102</v>
      </c>
      <c r="M219" s="200">
        <v>0</v>
      </c>
      <c r="N219" s="200">
        <v>0</v>
      </c>
      <c r="O219" s="202">
        <v>0</v>
      </c>
    </row>
    <row r="220" spans="1:15" ht="18.75">
      <c r="A220" s="221" t="str">
        <f>INDEX(Lookup!$A$1:$A$126,MATCH(DataYY03!C220,Lookup!$C$1:$C$126,0))</f>
        <v>Administration</v>
      </c>
      <c r="B220" s="224" t="s">
        <v>148</v>
      </c>
      <c r="C220" s="199" t="s">
        <v>139</v>
      </c>
      <c r="D220" s="199" t="s">
        <v>23</v>
      </c>
      <c r="E220" s="200">
        <v>20124</v>
      </c>
      <c r="F220" s="201">
        <v>36526</v>
      </c>
      <c r="G220" s="200">
        <v>0</v>
      </c>
      <c r="H220" s="200">
        <v>0</v>
      </c>
      <c r="I220" s="202">
        <v>0</v>
      </c>
      <c r="J220" s="203">
        <v>3135.34</v>
      </c>
      <c r="K220" s="203">
        <v>1789.7</v>
      </c>
      <c r="L220" s="204">
        <v>-42.91847136195756</v>
      </c>
      <c r="M220" s="200">
        <v>0</v>
      </c>
      <c r="N220" s="200">
        <v>0</v>
      </c>
      <c r="O220" s="202">
        <v>0</v>
      </c>
    </row>
    <row r="221" spans="1:15" ht="18.75">
      <c r="A221" s="221" t="str">
        <f>INDEX(Lookup!$A$1:$A$126,MATCH(DataYY03!C221,Lookup!$C$1:$C$126,0))</f>
        <v>Administration</v>
      </c>
      <c r="B221" s="223" t="s">
        <v>148</v>
      </c>
      <c r="C221" s="199" t="s">
        <v>140</v>
      </c>
      <c r="D221" s="199" t="s">
        <v>23</v>
      </c>
      <c r="E221" s="200">
        <v>45340</v>
      </c>
      <c r="F221" s="201">
        <v>36526</v>
      </c>
      <c r="G221" s="200">
        <v>0</v>
      </c>
      <c r="H221" s="200">
        <v>0</v>
      </c>
      <c r="I221" s="202">
        <v>0</v>
      </c>
      <c r="J221" s="203">
        <v>5036.18</v>
      </c>
      <c r="K221" s="203">
        <v>5440.59</v>
      </c>
      <c r="L221" s="204">
        <v>8.030094238093158</v>
      </c>
      <c r="M221" s="200">
        <v>0</v>
      </c>
      <c r="N221" s="200">
        <v>0</v>
      </c>
      <c r="O221" s="202">
        <v>0</v>
      </c>
    </row>
    <row r="222" spans="1:15" ht="18.75">
      <c r="A222" s="221" t="str">
        <f>INDEX(Lookup!$A$1:$A$126,MATCH(DataYY03!C222,Lookup!$C$1:$C$126,0))</f>
        <v>Elementary School</v>
      </c>
      <c r="B222" s="224" t="s">
        <v>148</v>
      </c>
      <c r="C222" s="199" t="s">
        <v>141</v>
      </c>
      <c r="D222" s="199" t="s">
        <v>17</v>
      </c>
      <c r="E222" s="200">
        <v>89993</v>
      </c>
      <c r="F222" s="201">
        <v>36526</v>
      </c>
      <c r="G222" s="200">
        <v>0</v>
      </c>
      <c r="H222" s="200">
        <v>0</v>
      </c>
      <c r="I222" s="202">
        <v>0</v>
      </c>
      <c r="J222" s="203">
        <v>8847.32</v>
      </c>
      <c r="K222" s="203">
        <v>9175.36</v>
      </c>
      <c r="L222" s="204">
        <v>3.7077894774914886</v>
      </c>
      <c r="M222" s="200">
        <v>0</v>
      </c>
      <c r="N222" s="200">
        <v>0</v>
      </c>
      <c r="O222" s="202">
        <v>0</v>
      </c>
    </row>
    <row r="223" spans="1:15" ht="18.75">
      <c r="A223" s="221" t="str">
        <f>INDEX(Lookup!$A$1:$A$126,MATCH(DataYY03!C223,Lookup!$C$1:$C$126,0))</f>
        <v>Elementary School</v>
      </c>
      <c r="B223" s="223" t="s">
        <v>148</v>
      </c>
      <c r="C223" s="199" t="s">
        <v>142</v>
      </c>
      <c r="D223" s="199" t="s">
        <v>17</v>
      </c>
      <c r="E223" s="200">
        <v>84992</v>
      </c>
      <c r="F223" s="201">
        <v>36526</v>
      </c>
      <c r="G223" s="200">
        <v>0</v>
      </c>
      <c r="H223" s="200">
        <v>0</v>
      </c>
      <c r="I223" s="202">
        <v>0</v>
      </c>
      <c r="J223" s="203">
        <v>14521.3</v>
      </c>
      <c r="K223" s="203">
        <v>10379.75</v>
      </c>
      <c r="L223" s="204">
        <v>-28.520518135428645</v>
      </c>
      <c r="M223" s="200">
        <v>0</v>
      </c>
      <c r="N223" s="200">
        <v>0</v>
      </c>
      <c r="O223" s="202">
        <v>0</v>
      </c>
    </row>
    <row r="224" spans="1:15" ht="18.75">
      <c r="A224" s="221" t="str">
        <f>INDEX(Lookup!$A$1:$A$126,MATCH(DataYY03!C224,Lookup!$C$1:$C$126,0))</f>
        <v>Elementary School</v>
      </c>
      <c r="B224" s="224" t="s">
        <v>148</v>
      </c>
      <c r="C224" s="199" t="s">
        <v>145</v>
      </c>
      <c r="D224" s="199" t="s">
        <v>23</v>
      </c>
      <c r="E224" s="200">
        <v>115438</v>
      </c>
      <c r="F224" s="201">
        <v>36526</v>
      </c>
      <c r="G224" s="200">
        <v>0</v>
      </c>
      <c r="H224" s="200">
        <v>0</v>
      </c>
      <c r="I224" s="202">
        <v>0</v>
      </c>
      <c r="J224" s="203">
        <v>14138.87</v>
      </c>
      <c r="K224" s="203">
        <v>15498.23</v>
      </c>
      <c r="L224" s="204">
        <v>9.61434683252622</v>
      </c>
      <c r="M224" s="200">
        <v>0</v>
      </c>
      <c r="N224" s="200">
        <v>0</v>
      </c>
      <c r="O224" s="202">
        <v>0</v>
      </c>
    </row>
    <row r="225" spans="1:15" ht="18.75">
      <c r="A225" s="221" t="str">
        <f>INDEX(Lookup!$A$1:$A$126,MATCH(DataYY03!C225,Lookup!$C$1:$C$126,0))</f>
        <v>Elementary School</v>
      </c>
      <c r="B225" s="223" t="s">
        <v>148</v>
      </c>
      <c r="C225" s="199" t="s">
        <v>146</v>
      </c>
      <c r="D225" s="199" t="s">
        <v>17</v>
      </c>
      <c r="E225" s="200">
        <v>81794</v>
      </c>
      <c r="F225" s="201">
        <v>36526</v>
      </c>
      <c r="G225" s="200">
        <v>0</v>
      </c>
      <c r="H225" s="200">
        <v>0</v>
      </c>
      <c r="I225" s="202">
        <v>0</v>
      </c>
      <c r="J225" s="203">
        <v>17673.01</v>
      </c>
      <c r="K225" s="203">
        <v>14714.74</v>
      </c>
      <c r="L225" s="204">
        <v>-16.73891431057867</v>
      </c>
      <c r="M225" s="200">
        <v>0</v>
      </c>
      <c r="N225" s="200">
        <v>0</v>
      </c>
      <c r="O225" s="202">
        <v>0</v>
      </c>
    </row>
    <row r="226" spans="1:15" ht="18.75">
      <c r="A226" s="221" t="str">
        <f>INDEX(Lookup!$A$1:$A$126,MATCH(DataYY03!C226,Lookup!$C$1:$C$126,0))</f>
        <v>Special School</v>
      </c>
      <c r="B226" s="225" t="s">
        <v>149</v>
      </c>
      <c r="C226" s="205" t="s">
        <v>20</v>
      </c>
      <c r="D226" s="205" t="s">
        <v>21</v>
      </c>
      <c r="E226" s="206">
        <v>50839</v>
      </c>
      <c r="F226" s="207">
        <v>36526</v>
      </c>
      <c r="G226" s="206">
        <v>0</v>
      </c>
      <c r="H226" s="206">
        <v>0</v>
      </c>
      <c r="I226" s="208">
        <v>0</v>
      </c>
      <c r="J226" s="209">
        <v>511.7</v>
      </c>
      <c r="K226" s="209">
        <v>536.1</v>
      </c>
      <c r="L226" s="210">
        <v>4.768418995505179</v>
      </c>
      <c r="M226" s="206">
        <v>0</v>
      </c>
      <c r="N226" s="206">
        <v>0</v>
      </c>
      <c r="O226" s="208">
        <v>0</v>
      </c>
    </row>
    <row r="227" spans="1:15" ht="18.75">
      <c r="A227" s="221" t="str">
        <f>INDEX(Lookup!$A$1:$A$126,MATCH(DataYY03!C227,Lookup!$C$1:$C$126,0))</f>
        <v>Elementary School</v>
      </c>
      <c r="B227" s="226" t="s">
        <v>149</v>
      </c>
      <c r="C227" s="205" t="s">
        <v>22</v>
      </c>
      <c r="D227" s="205" t="s">
        <v>23</v>
      </c>
      <c r="E227" s="206">
        <v>107836</v>
      </c>
      <c r="F227" s="207">
        <v>36526</v>
      </c>
      <c r="G227" s="206">
        <v>0</v>
      </c>
      <c r="H227" s="206">
        <v>0</v>
      </c>
      <c r="I227" s="208">
        <v>0</v>
      </c>
      <c r="J227" s="209">
        <v>268.56</v>
      </c>
      <c r="K227" s="209">
        <v>2250.14</v>
      </c>
      <c r="L227" s="210">
        <v>737.8537384569556</v>
      </c>
      <c r="M227" s="206">
        <v>0</v>
      </c>
      <c r="N227" s="206">
        <v>0</v>
      </c>
      <c r="O227" s="208">
        <v>0</v>
      </c>
    </row>
    <row r="228" spans="1:15" ht="18.75">
      <c r="A228" s="221" t="str">
        <f>INDEX(Lookup!$A$1:$A$126,MATCH(DataYY03!C228,Lookup!$C$1:$C$126,0))</f>
        <v>Middle School</v>
      </c>
      <c r="B228" s="225" t="s">
        <v>149</v>
      </c>
      <c r="C228" s="205" t="s">
        <v>25</v>
      </c>
      <c r="D228" s="205" t="s">
        <v>23</v>
      </c>
      <c r="E228" s="206">
        <v>244123</v>
      </c>
      <c r="F228" s="207">
        <v>36526</v>
      </c>
      <c r="G228" s="206">
        <v>0</v>
      </c>
      <c r="H228" s="206">
        <v>0</v>
      </c>
      <c r="I228" s="208">
        <v>0</v>
      </c>
      <c r="J228" s="209">
        <v>15808</v>
      </c>
      <c r="K228" s="209">
        <v>30317.1</v>
      </c>
      <c r="L228" s="210">
        <v>91.78327429149799</v>
      </c>
      <c r="M228" s="206">
        <v>0</v>
      </c>
      <c r="N228" s="206">
        <v>0</v>
      </c>
      <c r="O228" s="208">
        <v>0</v>
      </c>
    </row>
    <row r="229" spans="1:15" ht="18.75">
      <c r="A229" s="221" t="str">
        <f>INDEX(Lookup!$A$1:$A$126,MATCH(DataYY03!C229,Lookup!$C$1:$C$126,0))</f>
        <v>Middle School</v>
      </c>
      <c r="B229" s="226" t="s">
        <v>149</v>
      </c>
      <c r="C229" s="205" t="s">
        <v>26</v>
      </c>
      <c r="D229" s="205" t="s">
        <v>17</v>
      </c>
      <c r="E229" s="206">
        <v>219821</v>
      </c>
      <c r="F229" s="207">
        <v>36526</v>
      </c>
      <c r="G229" s="206">
        <v>0</v>
      </c>
      <c r="H229" s="206">
        <v>0</v>
      </c>
      <c r="I229" s="208">
        <v>0</v>
      </c>
      <c r="J229" s="209">
        <v>13666.94</v>
      </c>
      <c r="K229" s="209">
        <v>2398.43</v>
      </c>
      <c r="L229" s="210">
        <v>-82.4508631778584</v>
      </c>
      <c r="M229" s="206">
        <v>0</v>
      </c>
      <c r="N229" s="206">
        <v>0</v>
      </c>
      <c r="O229" s="208">
        <v>0</v>
      </c>
    </row>
    <row r="230" spans="1:15" ht="18.75">
      <c r="A230" s="221" t="str">
        <f>INDEX(Lookup!$A$1:$A$126,MATCH(DataYY03!C230,Lookup!$C$1:$C$126,0))</f>
        <v>Administration</v>
      </c>
      <c r="B230" s="225" t="s">
        <v>149</v>
      </c>
      <c r="C230" s="205" t="s">
        <v>33</v>
      </c>
      <c r="D230" s="205" t="s">
        <v>23</v>
      </c>
      <c r="E230" s="206">
        <v>491434</v>
      </c>
      <c r="F230" s="207">
        <v>36526</v>
      </c>
      <c r="G230" s="206">
        <v>0</v>
      </c>
      <c r="H230" s="206">
        <v>0</v>
      </c>
      <c r="I230" s="208">
        <v>0</v>
      </c>
      <c r="J230" s="209">
        <v>29560</v>
      </c>
      <c r="K230" s="209">
        <v>35423.28</v>
      </c>
      <c r="L230" s="210">
        <v>19.83518267929635</v>
      </c>
      <c r="M230" s="206">
        <v>0</v>
      </c>
      <c r="N230" s="206">
        <v>0</v>
      </c>
      <c r="O230" s="208">
        <v>0</v>
      </c>
    </row>
    <row r="231" spans="1:15" ht="18.75">
      <c r="A231" s="221" t="str">
        <f>INDEX(Lookup!$A$1:$A$126,MATCH(DataYY03!C231,Lookup!$C$1:$C$126,0))</f>
        <v>Elementary School</v>
      </c>
      <c r="B231" s="226" t="s">
        <v>149</v>
      </c>
      <c r="C231" s="205" t="s">
        <v>34</v>
      </c>
      <c r="D231" s="205" t="s">
        <v>17</v>
      </c>
      <c r="E231" s="206">
        <v>106488</v>
      </c>
      <c r="F231" s="207">
        <v>36526</v>
      </c>
      <c r="G231" s="206">
        <v>0</v>
      </c>
      <c r="H231" s="206">
        <v>0</v>
      </c>
      <c r="I231" s="208">
        <v>0</v>
      </c>
      <c r="J231" s="209">
        <v>1821.28</v>
      </c>
      <c r="K231" s="209">
        <v>410.72</v>
      </c>
      <c r="L231" s="210">
        <v>-77.44882719845384</v>
      </c>
      <c r="M231" s="206">
        <v>0</v>
      </c>
      <c r="N231" s="206">
        <v>0</v>
      </c>
      <c r="O231" s="208">
        <v>0</v>
      </c>
    </row>
    <row r="232" spans="1:15" ht="18.75">
      <c r="A232" s="221" t="str">
        <f>INDEX(Lookup!$A$1:$A$126,MATCH(DataYY03!C232,Lookup!$C$1:$C$126,0))</f>
        <v>Elementary School</v>
      </c>
      <c r="B232" s="225" t="s">
        <v>149</v>
      </c>
      <c r="C232" s="205" t="s">
        <v>35</v>
      </c>
      <c r="D232" s="205" t="s">
        <v>23</v>
      </c>
      <c r="E232" s="206">
        <v>97384</v>
      </c>
      <c r="F232" s="207">
        <v>36526</v>
      </c>
      <c r="G232" s="206">
        <v>0</v>
      </c>
      <c r="H232" s="206">
        <v>0</v>
      </c>
      <c r="I232" s="208">
        <v>0</v>
      </c>
      <c r="J232" s="209">
        <v>5169.04</v>
      </c>
      <c r="K232" s="209">
        <v>730.68</v>
      </c>
      <c r="L232" s="210">
        <v>-85.8642997539195</v>
      </c>
      <c r="M232" s="206">
        <v>0</v>
      </c>
      <c r="N232" s="206">
        <v>0</v>
      </c>
      <c r="O232" s="208">
        <v>0</v>
      </c>
    </row>
    <row r="233" spans="1:15" ht="18.75">
      <c r="A233" s="221" t="str">
        <f>INDEX(Lookup!$A$1:$A$126,MATCH(DataYY03!C233,Lookup!$C$1:$C$126,0))</f>
        <v>Administration</v>
      </c>
      <c r="B233" s="226" t="s">
        <v>149</v>
      </c>
      <c r="C233" s="205" t="s">
        <v>37</v>
      </c>
      <c r="D233" s="205" t="s">
        <v>23</v>
      </c>
      <c r="E233" s="206">
        <v>18144</v>
      </c>
      <c r="F233" s="207">
        <v>36526</v>
      </c>
      <c r="G233" s="206">
        <v>0</v>
      </c>
      <c r="H233" s="206">
        <v>0</v>
      </c>
      <c r="I233" s="208">
        <v>0</v>
      </c>
      <c r="J233" s="209">
        <v>381.05</v>
      </c>
      <c r="K233" s="209">
        <v>659.9</v>
      </c>
      <c r="L233" s="210">
        <v>73.17937278572366</v>
      </c>
      <c r="M233" s="206">
        <v>0</v>
      </c>
      <c r="N233" s="206">
        <v>0</v>
      </c>
      <c r="O233" s="208">
        <v>0</v>
      </c>
    </row>
    <row r="234" spans="1:15" ht="18.75">
      <c r="A234" s="221" t="str">
        <f>INDEX(Lookup!$A$1:$A$126,MATCH(DataYY03!C234,Lookup!$C$1:$C$126,0))</f>
        <v>High School</v>
      </c>
      <c r="B234" s="225" t="s">
        <v>149</v>
      </c>
      <c r="C234" s="205" t="s">
        <v>39</v>
      </c>
      <c r="D234" s="205" t="s">
        <v>23</v>
      </c>
      <c r="E234" s="206">
        <v>573468</v>
      </c>
      <c r="F234" s="207">
        <v>36526</v>
      </c>
      <c r="G234" s="206">
        <v>0</v>
      </c>
      <c r="H234" s="206">
        <v>0</v>
      </c>
      <c r="I234" s="208">
        <v>0</v>
      </c>
      <c r="J234" s="209">
        <v>63729.64</v>
      </c>
      <c r="K234" s="209">
        <v>81125.45</v>
      </c>
      <c r="L234" s="210">
        <v>27.296262775060395</v>
      </c>
      <c r="M234" s="206">
        <v>0</v>
      </c>
      <c r="N234" s="206">
        <v>0</v>
      </c>
      <c r="O234" s="208">
        <v>0</v>
      </c>
    </row>
    <row r="235" spans="1:15" ht="18.75">
      <c r="A235" s="221" t="str">
        <f>INDEX(Lookup!$A$1:$A$126,MATCH(DataYY03!C235,Lookup!$C$1:$C$126,0))</f>
        <v>Middle School</v>
      </c>
      <c r="B235" s="226" t="s">
        <v>149</v>
      </c>
      <c r="C235" s="205" t="s">
        <v>42</v>
      </c>
      <c r="D235" s="205" t="s">
        <v>17</v>
      </c>
      <c r="E235" s="206">
        <v>204629</v>
      </c>
      <c r="F235" s="207">
        <v>36526</v>
      </c>
      <c r="G235" s="206">
        <v>0</v>
      </c>
      <c r="H235" s="206">
        <v>0</v>
      </c>
      <c r="I235" s="208">
        <v>0</v>
      </c>
      <c r="J235" s="209">
        <v>6424.86</v>
      </c>
      <c r="K235" s="209">
        <v>4282.51</v>
      </c>
      <c r="L235" s="210">
        <v>-33.34469544861678</v>
      </c>
      <c r="M235" s="206">
        <v>0</v>
      </c>
      <c r="N235" s="206">
        <v>0</v>
      </c>
      <c r="O235" s="208">
        <v>0</v>
      </c>
    </row>
    <row r="236" spans="1:15" ht="18.75">
      <c r="A236" s="221" t="str">
        <f>INDEX(Lookup!$A$1:$A$126,MATCH(DataYY03!C236,Lookup!$C$1:$C$126,0))</f>
        <v>High School</v>
      </c>
      <c r="B236" s="225" t="s">
        <v>149</v>
      </c>
      <c r="C236" s="205" t="s">
        <v>48</v>
      </c>
      <c r="D236" s="205" t="s">
        <v>17</v>
      </c>
      <c r="E236" s="206">
        <v>578719</v>
      </c>
      <c r="F236" s="207">
        <v>36526</v>
      </c>
      <c r="G236" s="206">
        <v>0</v>
      </c>
      <c r="H236" s="206">
        <v>0</v>
      </c>
      <c r="I236" s="208">
        <v>0</v>
      </c>
      <c r="J236" s="209">
        <v>1621.9</v>
      </c>
      <c r="K236" s="209">
        <v>6666.39</v>
      </c>
      <c r="L236" s="210">
        <v>311.02349096738396</v>
      </c>
      <c r="M236" s="206">
        <v>0</v>
      </c>
      <c r="N236" s="206">
        <v>0</v>
      </c>
      <c r="O236" s="208">
        <v>0</v>
      </c>
    </row>
    <row r="237" spans="1:15" ht="18.75">
      <c r="A237" s="221" t="str">
        <f>INDEX(Lookup!$A$1:$A$126,MATCH(DataYY03!C237,Lookup!$C$1:$C$126,0))</f>
        <v>High School</v>
      </c>
      <c r="B237" s="226" t="s">
        <v>149</v>
      </c>
      <c r="C237" s="205" t="s">
        <v>49</v>
      </c>
      <c r="D237" s="205" t="s">
        <v>21</v>
      </c>
      <c r="E237" s="206">
        <v>520212</v>
      </c>
      <c r="F237" s="207">
        <v>36526</v>
      </c>
      <c r="G237" s="206">
        <v>0</v>
      </c>
      <c r="H237" s="206">
        <v>0</v>
      </c>
      <c r="I237" s="208">
        <v>0</v>
      </c>
      <c r="J237" s="209">
        <v>40928.13</v>
      </c>
      <c r="K237" s="209">
        <v>43179.14</v>
      </c>
      <c r="L237" s="210">
        <v>5.49990923113272</v>
      </c>
      <c r="M237" s="206">
        <v>0</v>
      </c>
      <c r="N237" s="206">
        <v>0</v>
      </c>
      <c r="O237" s="208">
        <v>0</v>
      </c>
    </row>
    <row r="238" spans="1:15" ht="18.75">
      <c r="A238" s="221" t="str">
        <f>INDEX(Lookup!$A$1:$A$126,MATCH(DataYY03!C238,Lookup!$C$1:$C$126,0))</f>
        <v>High School</v>
      </c>
      <c r="B238" s="225" t="s">
        <v>149</v>
      </c>
      <c r="C238" s="205" t="s">
        <v>50</v>
      </c>
      <c r="D238" s="205" t="s">
        <v>23</v>
      </c>
      <c r="E238" s="206">
        <v>590057</v>
      </c>
      <c r="F238" s="207">
        <v>36526</v>
      </c>
      <c r="G238" s="206">
        <v>0</v>
      </c>
      <c r="H238" s="206">
        <v>0</v>
      </c>
      <c r="I238" s="208">
        <v>0</v>
      </c>
      <c r="J238" s="209">
        <v>48963.86</v>
      </c>
      <c r="K238" s="209">
        <v>54123.79</v>
      </c>
      <c r="L238" s="210">
        <v>10.538241878806122</v>
      </c>
      <c r="M238" s="206">
        <v>0</v>
      </c>
      <c r="N238" s="206">
        <v>0</v>
      </c>
      <c r="O238" s="208">
        <v>0</v>
      </c>
    </row>
    <row r="239" spans="1:15" ht="18.75">
      <c r="A239" s="221" t="str">
        <f>INDEX(Lookup!$A$1:$A$126,MATCH(DataYY03!C239,Lookup!$C$1:$C$126,0))</f>
        <v>High School</v>
      </c>
      <c r="B239" s="226" t="s">
        <v>149</v>
      </c>
      <c r="C239" s="205" t="s">
        <v>51</v>
      </c>
      <c r="D239" s="205" t="s">
        <v>23</v>
      </c>
      <c r="E239" s="206">
        <v>530203</v>
      </c>
      <c r="F239" s="207">
        <v>36526</v>
      </c>
      <c r="G239" s="206">
        <v>0</v>
      </c>
      <c r="H239" s="206">
        <v>0</v>
      </c>
      <c r="I239" s="208">
        <v>0</v>
      </c>
      <c r="J239" s="209">
        <v>45959.53</v>
      </c>
      <c r="K239" s="209">
        <v>49972.65</v>
      </c>
      <c r="L239" s="210">
        <v>8.731856048136262</v>
      </c>
      <c r="M239" s="206">
        <v>0</v>
      </c>
      <c r="N239" s="206">
        <v>0</v>
      </c>
      <c r="O239" s="208">
        <v>0</v>
      </c>
    </row>
    <row r="240" spans="1:15" ht="18.75">
      <c r="A240" s="221" t="str">
        <f>INDEX(Lookup!$A$1:$A$126,MATCH(DataYY03!C240,Lookup!$C$1:$C$126,0))</f>
        <v>High School</v>
      </c>
      <c r="B240" s="225" t="s">
        <v>149</v>
      </c>
      <c r="C240" s="205" t="s">
        <v>52</v>
      </c>
      <c r="D240" s="205" t="s">
        <v>17</v>
      </c>
      <c r="E240" s="206">
        <v>497661</v>
      </c>
      <c r="F240" s="207">
        <v>36526</v>
      </c>
      <c r="G240" s="206">
        <v>0</v>
      </c>
      <c r="H240" s="206">
        <v>0</v>
      </c>
      <c r="I240" s="208">
        <v>0</v>
      </c>
      <c r="J240" s="209">
        <v>30497.13</v>
      </c>
      <c r="K240" s="209">
        <v>23457.8</v>
      </c>
      <c r="L240" s="210">
        <v>-23.081942464749964</v>
      </c>
      <c r="M240" s="206">
        <v>0</v>
      </c>
      <c r="N240" s="206">
        <v>0</v>
      </c>
      <c r="O240" s="208">
        <v>0</v>
      </c>
    </row>
    <row r="241" spans="1:15" ht="18.75">
      <c r="A241" s="221" t="str">
        <f>INDEX(Lookup!$A$1:$A$126,MATCH(DataYY03!C241,Lookup!$C$1:$C$126,0))</f>
        <v>High School</v>
      </c>
      <c r="B241" s="226" t="s">
        <v>149</v>
      </c>
      <c r="C241" s="205" t="s">
        <v>53</v>
      </c>
      <c r="D241" s="205" t="s">
        <v>23</v>
      </c>
      <c r="E241" s="206">
        <v>477795</v>
      </c>
      <c r="F241" s="207">
        <v>36526</v>
      </c>
      <c r="G241" s="206">
        <v>0</v>
      </c>
      <c r="H241" s="206">
        <v>0</v>
      </c>
      <c r="I241" s="208">
        <v>0</v>
      </c>
      <c r="J241" s="209">
        <v>26599.72</v>
      </c>
      <c r="K241" s="209">
        <v>38644.7</v>
      </c>
      <c r="L241" s="210">
        <v>45.28235635563081</v>
      </c>
      <c r="M241" s="206">
        <v>0</v>
      </c>
      <c r="N241" s="206">
        <v>0</v>
      </c>
      <c r="O241" s="208">
        <v>0</v>
      </c>
    </row>
    <row r="242" spans="1:15" ht="18.75">
      <c r="A242" s="221" t="str">
        <f>INDEX(Lookup!$A$1:$A$126,MATCH(DataYY03!C242,Lookup!$C$1:$C$126,0))</f>
        <v>High School</v>
      </c>
      <c r="B242" s="225" t="s">
        <v>149</v>
      </c>
      <c r="C242" s="205" t="s">
        <v>54</v>
      </c>
      <c r="D242" s="205" t="s">
        <v>23</v>
      </c>
      <c r="E242" s="206">
        <v>535914</v>
      </c>
      <c r="F242" s="207">
        <v>36526</v>
      </c>
      <c r="G242" s="206">
        <v>0</v>
      </c>
      <c r="H242" s="206">
        <v>0</v>
      </c>
      <c r="I242" s="208">
        <v>0</v>
      </c>
      <c r="J242" s="209">
        <v>67044.02</v>
      </c>
      <c r="K242" s="209">
        <v>67694.82</v>
      </c>
      <c r="L242" s="210">
        <v>0.9707055155702179</v>
      </c>
      <c r="M242" s="206">
        <v>0</v>
      </c>
      <c r="N242" s="206">
        <v>0</v>
      </c>
      <c r="O242" s="208">
        <v>0</v>
      </c>
    </row>
    <row r="243" spans="1:15" ht="18.75">
      <c r="A243" s="221" t="str">
        <f>INDEX(Lookup!$A$1:$A$126,MATCH(DataYY03!C243,Lookup!$C$1:$C$126,0))</f>
        <v>Elementary School</v>
      </c>
      <c r="B243" s="226" t="s">
        <v>149</v>
      </c>
      <c r="C243" s="205" t="s">
        <v>55</v>
      </c>
      <c r="D243" s="205" t="s">
        <v>17</v>
      </c>
      <c r="E243" s="206">
        <v>99588</v>
      </c>
      <c r="F243" s="207">
        <v>36526</v>
      </c>
      <c r="G243" s="206">
        <v>0</v>
      </c>
      <c r="H243" s="206">
        <v>0</v>
      </c>
      <c r="I243" s="208">
        <v>0</v>
      </c>
      <c r="J243" s="209">
        <v>434.16</v>
      </c>
      <c r="K243" s="209">
        <v>434.16</v>
      </c>
      <c r="L243" s="210">
        <v>0</v>
      </c>
      <c r="M243" s="206">
        <v>0</v>
      </c>
      <c r="N243" s="206">
        <v>0</v>
      </c>
      <c r="O243" s="208">
        <v>0</v>
      </c>
    </row>
    <row r="244" spans="1:15" ht="18.75">
      <c r="A244" s="221" t="str">
        <f>INDEX(Lookup!$A$1:$A$126,MATCH(DataYY03!C244,Lookup!$C$1:$C$126,0))</f>
        <v>Middle School</v>
      </c>
      <c r="B244" s="225" t="s">
        <v>149</v>
      </c>
      <c r="C244" s="205" t="s">
        <v>56</v>
      </c>
      <c r="D244" s="205" t="s">
        <v>17</v>
      </c>
      <c r="E244" s="206">
        <v>213572</v>
      </c>
      <c r="F244" s="207">
        <v>36526</v>
      </c>
      <c r="G244" s="206">
        <v>0</v>
      </c>
      <c r="H244" s="206">
        <v>0</v>
      </c>
      <c r="I244" s="208">
        <v>0</v>
      </c>
      <c r="J244" s="209">
        <v>16439.54</v>
      </c>
      <c r="K244" s="209">
        <v>11904.49</v>
      </c>
      <c r="L244" s="210">
        <v>-27.586234164702905</v>
      </c>
      <c r="M244" s="206">
        <v>0</v>
      </c>
      <c r="N244" s="206">
        <v>0</v>
      </c>
      <c r="O244" s="208">
        <v>0</v>
      </c>
    </row>
    <row r="245" spans="1:15" ht="18.75">
      <c r="A245" s="221" t="str">
        <f>INDEX(Lookup!$A$1:$A$126,MATCH(DataYY03!C245,Lookup!$C$1:$C$126,0))</f>
        <v>Elementary School</v>
      </c>
      <c r="B245" s="226" t="s">
        <v>149</v>
      </c>
      <c r="C245" s="205" t="s">
        <v>57</v>
      </c>
      <c r="D245" s="205" t="s">
        <v>21</v>
      </c>
      <c r="E245" s="206">
        <v>97959</v>
      </c>
      <c r="F245" s="207">
        <v>36526</v>
      </c>
      <c r="G245" s="206">
        <v>0</v>
      </c>
      <c r="H245" s="206">
        <v>0</v>
      </c>
      <c r="I245" s="208">
        <v>0</v>
      </c>
      <c r="J245" s="209">
        <v>4492.8</v>
      </c>
      <c r="K245" s="209">
        <v>2785.2</v>
      </c>
      <c r="L245" s="210">
        <v>-38.00747863247863</v>
      </c>
      <c r="M245" s="206">
        <v>0</v>
      </c>
      <c r="N245" s="206">
        <v>0</v>
      </c>
      <c r="O245" s="208">
        <v>0</v>
      </c>
    </row>
    <row r="246" spans="1:15" ht="18.75">
      <c r="A246" s="221" t="str">
        <f>INDEX(Lookup!$A$1:$A$126,MATCH(DataYY03!C246,Lookup!$C$1:$C$126,0))</f>
        <v>Administration</v>
      </c>
      <c r="B246" s="225" t="s">
        <v>149</v>
      </c>
      <c r="C246" s="205" t="s">
        <v>60</v>
      </c>
      <c r="D246" s="205" t="s">
        <v>17</v>
      </c>
      <c r="E246" s="206">
        <v>26451</v>
      </c>
      <c r="F246" s="207">
        <v>36526</v>
      </c>
      <c r="G246" s="206">
        <v>0</v>
      </c>
      <c r="H246" s="206">
        <v>0</v>
      </c>
      <c r="I246" s="208">
        <v>0</v>
      </c>
      <c r="J246" s="209">
        <v>4006.3</v>
      </c>
      <c r="K246" s="209">
        <v>473.9</v>
      </c>
      <c r="L246" s="210">
        <v>-88.17113046951052</v>
      </c>
      <c r="M246" s="206">
        <v>0</v>
      </c>
      <c r="N246" s="206">
        <v>0</v>
      </c>
      <c r="O246" s="208">
        <v>0</v>
      </c>
    </row>
    <row r="247" spans="1:15" ht="18.75">
      <c r="A247" s="221" t="str">
        <f>INDEX(Lookup!$A$1:$A$126,MATCH(DataYY03!C247,Lookup!$C$1:$C$126,0))</f>
        <v>Elementary School</v>
      </c>
      <c r="B247" s="226" t="s">
        <v>149</v>
      </c>
      <c r="C247" s="205" t="s">
        <v>61</v>
      </c>
      <c r="D247" s="205" t="s">
        <v>21</v>
      </c>
      <c r="E247" s="206">
        <v>95366</v>
      </c>
      <c r="F247" s="207">
        <v>36526</v>
      </c>
      <c r="G247" s="206">
        <v>0</v>
      </c>
      <c r="H247" s="206">
        <v>0</v>
      </c>
      <c r="I247" s="208">
        <v>0</v>
      </c>
      <c r="J247" s="209">
        <v>2723.67</v>
      </c>
      <c r="K247" s="209">
        <v>660</v>
      </c>
      <c r="L247" s="210">
        <v>-75.7679895141482</v>
      </c>
      <c r="M247" s="206">
        <v>0</v>
      </c>
      <c r="N247" s="206">
        <v>0</v>
      </c>
      <c r="O247" s="208">
        <v>0</v>
      </c>
    </row>
    <row r="248" spans="1:15" ht="18.75">
      <c r="A248" s="221" t="str">
        <f>INDEX(Lookup!$A$1:$A$126,MATCH(DataYY03!C248,Lookup!$C$1:$C$126,0))</f>
        <v>Elementary School</v>
      </c>
      <c r="B248" s="225" t="s">
        <v>149</v>
      </c>
      <c r="C248" s="205" t="s">
        <v>66</v>
      </c>
      <c r="D248" s="205" t="s">
        <v>23</v>
      </c>
      <c r="E248" s="206">
        <v>95036</v>
      </c>
      <c r="F248" s="207">
        <v>36526</v>
      </c>
      <c r="G248" s="206">
        <v>0</v>
      </c>
      <c r="H248" s="206">
        <v>0</v>
      </c>
      <c r="I248" s="208">
        <v>0</v>
      </c>
      <c r="J248" s="209">
        <v>4379.35</v>
      </c>
      <c r="K248" s="209">
        <v>2901.92</v>
      </c>
      <c r="L248" s="210">
        <v>-33.73628506513524</v>
      </c>
      <c r="M248" s="206">
        <v>0</v>
      </c>
      <c r="N248" s="206">
        <v>0</v>
      </c>
      <c r="O248" s="208">
        <v>0</v>
      </c>
    </row>
    <row r="249" spans="1:15" ht="18.75">
      <c r="A249" s="221" t="str">
        <f>INDEX(Lookup!$A$1:$A$126,MATCH(DataYY03!C249,Lookup!$C$1:$C$126,0))</f>
        <v>Elementary School</v>
      </c>
      <c r="B249" s="226" t="s">
        <v>149</v>
      </c>
      <c r="C249" s="205" t="s">
        <v>72</v>
      </c>
      <c r="D249" s="205" t="s">
        <v>17</v>
      </c>
      <c r="E249" s="206">
        <v>91424</v>
      </c>
      <c r="F249" s="207">
        <v>36526</v>
      </c>
      <c r="G249" s="206">
        <v>0</v>
      </c>
      <c r="H249" s="206">
        <v>0</v>
      </c>
      <c r="I249" s="208">
        <v>0</v>
      </c>
      <c r="J249" s="209">
        <v>1519.7</v>
      </c>
      <c r="K249" s="209">
        <v>180.04</v>
      </c>
      <c r="L249" s="210">
        <v>-88.15292491939199</v>
      </c>
      <c r="M249" s="206">
        <v>0</v>
      </c>
      <c r="N249" s="206">
        <v>0</v>
      </c>
      <c r="O249" s="208">
        <v>0</v>
      </c>
    </row>
    <row r="250" spans="1:15" ht="18.75">
      <c r="A250" s="221" t="str">
        <f>INDEX(Lookup!$A$1:$A$126,MATCH(DataYY03!C250,Lookup!$C$1:$C$126,0))</f>
        <v>Middle School</v>
      </c>
      <c r="B250" s="225" t="s">
        <v>149</v>
      </c>
      <c r="C250" s="205" t="s">
        <v>73</v>
      </c>
      <c r="D250" s="205" t="s">
        <v>23</v>
      </c>
      <c r="E250" s="206">
        <v>218801</v>
      </c>
      <c r="F250" s="207">
        <v>36526</v>
      </c>
      <c r="G250" s="206">
        <v>0</v>
      </c>
      <c r="H250" s="206">
        <v>0</v>
      </c>
      <c r="I250" s="208">
        <v>0</v>
      </c>
      <c r="J250" s="209">
        <v>20587.47</v>
      </c>
      <c r="K250" s="209">
        <v>19778.84</v>
      </c>
      <c r="L250" s="210">
        <v>-3.9277774296695998</v>
      </c>
      <c r="M250" s="206">
        <v>0</v>
      </c>
      <c r="N250" s="206">
        <v>0</v>
      </c>
      <c r="O250" s="208">
        <v>0</v>
      </c>
    </row>
    <row r="251" spans="1:15" ht="18.75">
      <c r="A251" s="221" t="str">
        <f>INDEX(Lookup!$A$1:$A$126,MATCH(DataYY03!C251,Lookup!$C$1:$C$126,0))</f>
        <v>Middle School</v>
      </c>
      <c r="B251" s="226" t="s">
        <v>149</v>
      </c>
      <c r="C251" s="205" t="s">
        <v>76</v>
      </c>
      <c r="D251" s="205" t="s">
        <v>23</v>
      </c>
      <c r="E251" s="206">
        <v>192751</v>
      </c>
      <c r="F251" s="207">
        <v>36526</v>
      </c>
      <c r="G251" s="206">
        <v>0</v>
      </c>
      <c r="H251" s="205"/>
      <c r="I251" s="208">
        <v>0</v>
      </c>
      <c r="J251" s="209">
        <v>0</v>
      </c>
      <c r="K251" s="209">
        <v>34194.78</v>
      </c>
      <c r="L251" s="210">
        <v>0</v>
      </c>
      <c r="M251" s="206">
        <v>0</v>
      </c>
      <c r="N251" s="205"/>
      <c r="O251" s="208">
        <v>0</v>
      </c>
    </row>
    <row r="252" spans="1:15" ht="18.75">
      <c r="A252" s="221" t="str">
        <f>INDEX(Lookup!$A$1:$A$126,MATCH(DataYY03!C252,Lookup!$C$1:$C$126,0))</f>
        <v>Elementary School</v>
      </c>
      <c r="B252" s="225" t="s">
        <v>149</v>
      </c>
      <c r="C252" s="205" t="s">
        <v>78</v>
      </c>
      <c r="D252" s="205" t="s">
        <v>21</v>
      </c>
      <c r="E252" s="206">
        <v>96483</v>
      </c>
      <c r="F252" s="207">
        <v>36526</v>
      </c>
      <c r="G252" s="206">
        <v>0</v>
      </c>
      <c r="H252" s="206">
        <v>0</v>
      </c>
      <c r="I252" s="208">
        <v>0</v>
      </c>
      <c r="J252" s="209">
        <v>1253.53</v>
      </c>
      <c r="K252" s="209">
        <v>2555.25</v>
      </c>
      <c r="L252" s="210">
        <v>103.84434357374774</v>
      </c>
      <c r="M252" s="206">
        <v>0</v>
      </c>
      <c r="N252" s="206">
        <v>0</v>
      </c>
      <c r="O252" s="208">
        <v>0</v>
      </c>
    </row>
    <row r="253" spans="1:15" ht="18.75">
      <c r="A253" s="221" t="str">
        <f>INDEX(Lookup!$A$1:$A$126,MATCH(DataYY03!C253,Lookup!$C$1:$C$126,0))</f>
        <v>Elementary School</v>
      </c>
      <c r="B253" s="226" t="s">
        <v>149</v>
      </c>
      <c r="C253" s="205" t="s">
        <v>81</v>
      </c>
      <c r="D253" s="205" t="s">
        <v>21</v>
      </c>
      <c r="E253" s="206">
        <v>112519</v>
      </c>
      <c r="F253" s="207">
        <v>36526</v>
      </c>
      <c r="G253" s="206">
        <v>0</v>
      </c>
      <c r="H253" s="206">
        <v>0</v>
      </c>
      <c r="I253" s="208">
        <v>0</v>
      </c>
      <c r="J253" s="209">
        <v>15229.9</v>
      </c>
      <c r="K253" s="209">
        <v>9749</v>
      </c>
      <c r="L253" s="210">
        <v>-35.98776091766853</v>
      </c>
      <c r="M253" s="206">
        <v>0</v>
      </c>
      <c r="N253" s="206">
        <v>0</v>
      </c>
      <c r="O253" s="208">
        <v>0</v>
      </c>
    </row>
    <row r="254" spans="1:15" ht="18.75">
      <c r="A254" s="221" t="str">
        <f>INDEX(Lookup!$A$1:$A$126,MATCH(DataYY03!C254,Lookup!$C$1:$C$126,0))</f>
        <v>Middle School</v>
      </c>
      <c r="B254" s="225" t="s">
        <v>149</v>
      </c>
      <c r="C254" s="205" t="s">
        <v>82</v>
      </c>
      <c r="D254" s="205" t="s">
        <v>23</v>
      </c>
      <c r="E254" s="206">
        <v>226178</v>
      </c>
      <c r="F254" s="207">
        <v>36526</v>
      </c>
      <c r="G254" s="206">
        <v>0</v>
      </c>
      <c r="H254" s="206">
        <v>0</v>
      </c>
      <c r="I254" s="208">
        <v>0</v>
      </c>
      <c r="J254" s="209">
        <v>12963.99</v>
      </c>
      <c r="K254" s="209">
        <v>16285.6</v>
      </c>
      <c r="L254" s="210">
        <v>25.621818591344176</v>
      </c>
      <c r="M254" s="206">
        <v>0</v>
      </c>
      <c r="N254" s="206">
        <v>0</v>
      </c>
      <c r="O254" s="208">
        <v>0</v>
      </c>
    </row>
    <row r="255" spans="1:15" ht="18.75">
      <c r="A255" s="221" t="str">
        <f>INDEX(Lookup!$A$1:$A$126,MATCH(DataYY03!C255,Lookup!$C$1:$C$126,0))</f>
        <v>Administration</v>
      </c>
      <c r="B255" s="226" t="s">
        <v>149</v>
      </c>
      <c r="C255" s="205" t="s">
        <v>91</v>
      </c>
      <c r="D255" s="205" t="s">
        <v>17</v>
      </c>
      <c r="E255" s="206">
        <v>35364</v>
      </c>
      <c r="F255" s="207">
        <v>36526</v>
      </c>
      <c r="G255" s="206">
        <v>0</v>
      </c>
      <c r="H255" s="206">
        <v>0</v>
      </c>
      <c r="I255" s="208">
        <v>0</v>
      </c>
      <c r="J255" s="209">
        <v>909.25</v>
      </c>
      <c r="K255" s="209">
        <v>862.37</v>
      </c>
      <c r="L255" s="210">
        <v>-5.155897717899368</v>
      </c>
      <c r="M255" s="206">
        <v>0</v>
      </c>
      <c r="N255" s="206">
        <v>0</v>
      </c>
      <c r="O255" s="208">
        <v>0</v>
      </c>
    </row>
    <row r="256" spans="1:15" ht="18.75">
      <c r="A256" s="221" t="str">
        <f>INDEX(Lookup!$A$1:$A$126,MATCH(DataYY03!C256,Lookup!$C$1:$C$126,0))</f>
        <v>Administration</v>
      </c>
      <c r="B256" s="225" t="s">
        <v>149</v>
      </c>
      <c r="C256" s="205" t="s">
        <v>94</v>
      </c>
      <c r="D256" s="205" t="s">
        <v>17</v>
      </c>
      <c r="E256" s="206">
        <v>2385</v>
      </c>
      <c r="F256" s="207">
        <v>36526</v>
      </c>
      <c r="G256" s="206">
        <v>0</v>
      </c>
      <c r="H256" s="206">
        <v>0</v>
      </c>
      <c r="I256" s="208">
        <v>0</v>
      </c>
      <c r="J256" s="209">
        <v>31598.48</v>
      </c>
      <c r="K256" s="209">
        <v>18228.52</v>
      </c>
      <c r="L256" s="210">
        <v>-42.312035262455666</v>
      </c>
      <c r="M256" s="206">
        <v>0</v>
      </c>
      <c r="N256" s="206">
        <v>0</v>
      </c>
      <c r="O256" s="208">
        <v>0</v>
      </c>
    </row>
    <row r="257" spans="1:15" ht="18.75">
      <c r="A257" s="221" t="str">
        <f>INDEX(Lookup!$A$1:$A$126,MATCH(DataYY03!C257,Lookup!$C$1:$C$126,0))</f>
        <v>Elementary School</v>
      </c>
      <c r="B257" s="226" t="s">
        <v>149</v>
      </c>
      <c r="C257" s="205" t="s">
        <v>95</v>
      </c>
      <c r="D257" s="205" t="s">
        <v>21</v>
      </c>
      <c r="E257" s="206">
        <v>73726</v>
      </c>
      <c r="F257" s="207">
        <v>36526</v>
      </c>
      <c r="G257" s="206">
        <v>0</v>
      </c>
      <c r="H257" s="206">
        <v>0</v>
      </c>
      <c r="I257" s="208">
        <v>0</v>
      </c>
      <c r="J257" s="209">
        <v>14484.1</v>
      </c>
      <c r="K257" s="209">
        <v>10404.65</v>
      </c>
      <c r="L257" s="210">
        <v>-28.16502233483613</v>
      </c>
      <c r="M257" s="206">
        <v>0</v>
      </c>
      <c r="N257" s="206">
        <v>0</v>
      </c>
      <c r="O257" s="208">
        <v>0</v>
      </c>
    </row>
    <row r="258" spans="1:15" ht="18.75">
      <c r="A258" s="221" t="str">
        <f>INDEX(Lookup!$A$1:$A$126,MATCH(DataYY03!C258,Lookup!$C$1:$C$126,0))</f>
        <v>Middle School</v>
      </c>
      <c r="B258" s="225" t="s">
        <v>149</v>
      </c>
      <c r="C258" s="205" t="s">
        <v>96</v>
      </c>
      <c r="D258" s="205" t="s">
        <v>17</v>
      </c>
      <c r="E258" s="206">
        <v>221601</v>
      </c>
      <c r="F258" s="207">
        <v>36526</v>
      </c>
      <c r="G258" s="206">
        <v>0</v>
      </c>
      <c r="H258" s="206">
        <v>0</v>
      </c>
      <c r="I258" s="208">
        <v>0</v>
      </c>
      <c r="J258" s="209">
        <v>12002.28</v>
      </c>
      <c r="K258" s="209">
        <v>20531.8</v>
      </c>
      <c r="L258" s="210">
        <v>71.0658308254765</v>
      </c>
      <c r="M258" s="206">
        <v>0</v>
      </c>
      <c r="N258" s="206">
        <v>0</v>
      </c>
      <c r="O258" s="208">
        <v>0</v>
      </c>
    </row>
    <row r="259" spans="1:15" ht="18.75">
      <c r="A259" s="221" t="str">
        <f>INDEX(Lookup!$A$1:$A$126,MATCH(DataYY03!C259,Lookup!$C$1:$C$126,0))</f>
        <v>Elementary School</v>
      </c>
      <c r="B259" s="226" t="s">
        <v>149</v>
      </c>
      <c r="C259" s="205" t="s">
        <v>97</v>
      </c>
      <c r="D259" s="205" t="s">
        <v>23</v>
      </c>
      <c r="E259" s="206">
        <v>95518</v>
      </c>
      <c r="F259" s="207">
        <v>36526</v>
      </c>
      <c r="G259" s="206">
        <v>0</v>
      </c>
      <c r="H259" s="206">
        <v>0</v>
      </c>
      <c r="I259" s="208">
        <v>0</v>
      </c>
      <c r="J259" s="209">
        <v>2286.15</v>
      </c>
      <c r="K259" s="209">
        <v>3712.8</v>
      </c>
      <c r="L259" s="210">
        <v>62.404041729545305</v>
      </c>
      <c r="M259" s="206">
        <v>0</v>
      </c>
      <c r="N259" s="206">
        <v>0</v>
      </c>
      <c r="O259" s="208">
        <v>0</v>
      </c>
    </row>
    <row r="260" spans="1:15" ht="18.75">
      <c r="A260" s="221" t="str">
        <f>INDEX(Lookup!$A$1:$A$126,MATCH(DataYY03!C260,Lookup!$C$1:$C$126,0))</f>
        <v>Elementary School</v>
      </c>
      <c r="B260" s="225" t="s">
        <v>149</v>
      </c>
      <c r="C260" s="205" t="s">
        <v>98</v>
      </c>
      <c r="D260" s="205" t="s">
        <v>17</v>
      </c>
      <c r="E260" s="206">
        <v>93897</v>
      </c>
      <c r="F260" s="207">
        <v>36526</v>
      </c>
      <c r="G260" s="206">
        <v>0</v>
      </c>
      <c r="H260" s="206">
        <v>0</v>
      </c>
      <c r="I260" s="208">
        <v>0</v>
      </c>
      <c r="J260" s="209">
        <v>885.12</v>
      </c>
      <c r="K260" s="209">
        <v>767.35</v>
      </c>
      <c r="L260" s="210">
        <v>-13.305540491684745</v>
      </c>
      <c r="M260" s="206">
        <v>0</v>
      </c>
      <c r="N260" s="206">
        <v>0</v>
      </c>
      <c r="O260" s="208">
        <v>0</v>
      </c>
    </row>
    <row r="261" spans="1:15" ht="18.75">
      <c r="A261" s="221" t="str">
        <f>INDEX(Lookup!$A$1:$A$126,MATCH(DataYY03!C261,Lookup!$C$1:$C$126,0))</f>
        <v>High School</v>
      </c>
      <c r="B261" s="226" t="s">
        <v>149</v>
      </c>
      <c r="C261" s="205" t="s">
        <v>101</v>
      </c>
      <c r="D261" s="205" t="s">
        <v>17</v>
      </c>
      <c r="E261" s="206">
        <v>535686</v>
      </c>
      <c r="F261" s="207">
        <v>36526</v>
      </c>
      <c r="G261" s="206">
        <v>0</v>
      </c>
      <c r="H261" s="206">
        <v>0</v>
      </c>
      <c r="I261" s="208">
        <v>0</v>
      </c>
      <c r="J261" s="209">
        <v>31164.85</v>
      </c>
      <c r="K261" s="209">
        <v>38226.63</v>
      </c>
      <c r="L261" s="210">
        <v>22.65943843785547</v>
      </c>
      <c r="M261" s="206">
        <v>0</v>
      </c>
      <c r="N261" s="206">
        <v>0</v>
      </c>
      <c r="O261" s="208">
        <v>0</v>
      </c>
    </row>
    <row r="262" spans="1:15" ht="18.75">
      <c r="A262" s="221" t="str">
        <f>INDEX(Lookup!$A$1:$A$126,MATCH(DataYY03!C262,Lookup!$C$1:$C$126,0))</f>
        <v>Elementary School</v>
      </c>
      <c r="B262" s="225" t="s">
        <v>149</v>
      </c>
      <c r="C262" s="205" t="s">
        <v>103</v>
      </c>
      <c r="D262" s="205" t="s">
        <v>17</v>
      </c>
      <c r="E262" s="206">
        <v>95352</v>
      </c>
      <c r="F262" s="207">
        <v>36526</v>
      </c>
      <c r="G262" s="206">
        <v>0</v>
      </c>
      <c r="H262" s="206">
        <v>0</v>
      </c>
      <c r="I262" s="208">
        <v>0</v>
      </c>
      <c r="J262" s="209">
        <v>12713.24</v>
      </c>
      <c r="K262" s="209">
        <v>7017.64</v>
      </c>
      <c r="L262" s="210">
        <v>-44.80053865104411</v>
      </c>
      <c r="M262" s="206">
        <v>0</v>
      </c>
      <c r="N262" s="206">
        <v>0</v>
      </c>
      <c r="O262" s="208">
        <v>0</v>
      </c>
    </row>
    <row r="263" spans="1:15" ht="18.75">
      <c r="A263" s="221" t="str">
        <f>INDEX(Lookup!$A$1:$A$126,MATCH(DataYY03!C263,Lookup!$C$1:$C$126,0))</f>
        <v>Elementary School</v>
      </c>
      <c r="B263" s="226" t="s">
        <v>149</v>
      </c>
      <c r="C263" s="205" t="s">
        <v>105</v>
      </c>
      <c r="D263" s="205" t="s">
        <v>17</v>
      </c>
      <c r="E263" s="206">
        <v>78614</v>
      </c>
      <c r="F263" s="207">
        <v>43956</v>
      </c>
      <c r="G263" s="206">
        <v>0</v>
      </c>
      <c r="H263" s="206">
        <v>0</v>
      </c>
      <c r="I263" s="208">
        <v>0</v>
      </c>
      <c r="J263" s="209">
        <v>170.23</v>
      </c>
      <c r="K263" s="209">
        <v>3041.5</v>
      </c>
      <c r="L263" s="210">
        <v>1686.7003465899077</v>
      </c>
      <c r="M263" s="206">
        <v>0</v>
      </c>
      <c r="N263" s="206">
        <v>0</v>
      </c>
      <c r="O263" s="208">
        <v>0</v>
      </c>
    </row>
    <row r="264" spans="1:15" ht="18.75">
      <c r="A264" s="221" t="str">
        <f>INDEX(Lookup!$A$1:$A$126,MATCH(DataYY03!C264,Lookup!$C$1:$C$126,0))</f>
        <v>Elementary School</v>
      </c>
      <c r="B264" s="225" t="s">
        <v>149</v>
      </c>
      <c r="C264" s="205" t="s">
        <v>107</v>
      </c>
      <c r="D264" s="205" t="s">
        <v>17</v>
      </c>
      <c r="E264" s="206">
        <v>124682</v>
      </c>
      <c r="F264" s="207">
        <v>36526</v>
      </c>
      <c r="G264" s="206">
        <v>0</v>
      </c>
      <c r="H264" s="206">
        <v>0</v>
      </c>
      <c r="I264" s="208">
        <v>0</v>
      </c>
      <c r="J264" s="209">
        <v>3774.24</v>
      </c>
      <c r="K264" s="209">
        <v>2370.96</v>
      </c>
      <c r="L264" s="210">
        <v>-37.1804654711942</v>
      </c>
      <c r="M264" s="206">
        <v>0</v>
      </c>
      <c r="N264" s="206">
        <v>0</v>
      </c>
      <c r="O264" s="208">
        <v>0</v>
      </c>
    </row>
    <row r="265" spans="1:15" ht="18.75">
      <c r="A265" s="221" t="str">
        <f>INDEX(Lookup!$A$1:$A$126,MATCH(DataYY03!C265,Lookup!$C$1:$C$126,0))</f>
        <v>Elementary School</v>
      </c>
      <c r="B265" s="226" t="s">
        <v>149</v>
      </c>
      <c r="C265" s="205" t="s">
        <v>108</v>
      </c>
      <c r="D265" s="205" t="s">
        <v>21</v>
      </c>
      <c r="E265" s="206">
        <v>107075</v>
      </c>
      <c r="F265" s="207">
        <v>36526</v>
      </c>
      <c r="G265" s="206">
        <v>0</v>
      </c>
      <c r="H265" s="206">
        <v>0</v>
      </c>
      <c r="I265" s="208">
        <v>0</v>
      </c>
      <c r="J265" s="209">
        <v>5404.5</v>
      </c>
      <c r="K265" s="209">
        <v>6923.5</v>
      </c>
      <c r="L265" s="210">
        <v>28.106207789804795</v>
      </c>
      <c r="M265" s="206">
        <v>0</v>
      </c>
      <c r="N265" s="206">
        <v>0</v>
      </c>
      <c r="O265" s="208">
        <v>0</v>
      </c>
    </row>
    <row r="266" spans="1:15" ht="18.75">
      <c r="A266" s="221" t="str">
        <f>INDEX(Lookup!$A$1:$A$126,MATCH(DataYY03!C266,Lookup!$C$1:$C$126,0))</f>
        <v>Elementary School</v>
      </c>
      <c r="B266" s="225" t="s">
        <v>149</v>
      </c>
      <c r="C266" s="205" t="s">
        <v>115</v>
      </c>
      <c r="D266" s="205" t="s">
        <v>23</v>
      </c>
      <c r="E266" s="206">
        <v>112970</v>
      </c>
      <c r="F266" s="207">
        <v>36526</v>
      </c>
      <c r="G266" s="206">
        <v>0</v>
      </c>
      <c r="H266" s="206">
        <v>0</v>
      </c>
      <c r="I266" s="208">
        <v>0</v>
      </c>
      <c r="J266" s="209">
        <v>3052.2</v>
      </c>
      <c r="K266" s="209">
        <v>6976.35</v>
      </c>
      <c r="L266" s="210">
        <v>128.56791822292118</v>
      </c>
      <c r="M266" s="206">
        <v>0</v>
      </c>
      <c r="N266" s="206">
        <v>0</v>
      </c>
      <c r="O266" s="208">
        <v>0</v>
      </c>
    </row>
    <row r="267" spans="1:15" ht="18.75">
      <c r="A267" s="221" t="str">
        <f>INDEX(Lookup!$A$1:$A$126,MATCH(DataYY03!C267,Lookup!$C$1:$C$126,0))</f>
        <v>Elementary School</v>
      </c>
      <c r="B267" s="226" t="s">
        <v>149</v>
      </c>
      <c r="C267" s="205" t="s">
        <v>117</v>
      </c>
      <c r="D267" s="205" t="s">
        <v>23</v>
      </c>
      <c r="E267" s="206">
        <v>100456</v>
      </c>
      <c r="F267" s="207">
        <v>36526</v>
      </c>
      <c r="G267" s="206">
        <v>0</v>
      </c>
      <c r="H267" s="206">
        <v>0</v>
      </c>
      <c r="I267" s="208">
        <v>0</v>
      </c>
      <c r="J267" s="209">
        <v>2819.96</v>
      </c>
      <c r="K267" s="209">
        <v>2957.75</v>
      </c>
      <c r="L267" s="210">
        <v>4.886239521127959</v>
      </c>
      <c r="M267" s="206">
        <v>0</v>
      </c>
      <c r="N267" s="206">
        <v>0</v>
      </c>
      <c r="O267" s="208">
        <v>0</v>
      </c>
    </row>
    <row r="268" spans="1:15" ht="18.75">
      <c r="A268" s="221" t="str">
        <f>INDEX(Lookup!$A$1:$A$126,MATCH(DataYY03!C268,Lookup!$C$1:$C$126,0))</f>
        <v>Elementary School</v>
      </c>
      <c r="B268" s="225" t="s">
        <v>149</v>
      </c>
      <c r="C268" s="205" t="s">
        <v>121</v>
      </c>
      <c r="D268" s="205" t="s">
        <v>23</v>
      </c>
      <c r="E268" s="206">
        <v>110549</v>
      </c>
      <c r="F268" s="207">
        <v>36526</v>
      </c>
      <c r="G268" s="206">
        <v>0</v>
      </c>
      <c r="H268" s="206">
        <v>0</v>
      </c>
      <c r="I268" s="208">
        <v>0</v>
      </c>
      <c r="J268" s="209">
        <v>17228.65</v>
      </c>
      <c r="K268" s="209">
        <v>11811.74</v>
      </c>
      <c r="L268" s="210">
        <v>-31.441291105222987</v>
      </c>
      <c r="M268" s="206">
        <v>0</v>
      </c>
      <c r="N268" s="206">
        <v>0</v>
      </c>
      <c r="O268" s="208">
        <v>0</v>
      </c>
    </row>
    <row r="269" spans="1:15" ht="18.75">
      <c r="A269" s="221" t="str">
        <f>INDEX(Lookup!$A$1:$A$126,MATCH(DataYY03!C269,Lookup!$C$1:$C$126,0))</f>
        <v>Elementary School</v>
      </c>
      <c r="B269" s="226" t="s">
        <v>149</v>
      </c>
      <c r="C269" s="205" t="s">
        <v>122</v>
      </c>
      <c r="D269" s="205" t="s">
        <v>21</v>
      </c>
      <c r="E269" s="206">
        <v>98532</v>
      </c>
      <c r="F269" s="207">
        <v>43956</v>
      </c>
      <c r="G269" s="206">
        <v>0</v>
      </c>
      <c r="H269" s="206">
        <v>0</v>
      </c>
      <c r="I269" s="208">
        <v>0</v>
      </c>
      <c r="J269" s="209">
        <v>3180.69</v>
      </c>
      <c r="K269" s="209">
        <v>6987.25</v>
      </c>
      <c r="L269" s="210">
        <v>119.67717696474665</v>
      </c>
      <c r="M269" s="206">
        <v>0</v>
      </c>
      <c r="N269" s="206">
        <v>0</v>
      </c>
      <c r="O269" s="208">
        <v>0</v>
      </c>
    </row>
    <row r="270" spans="1:15" ht="18.75">
      <c r="A270" s="221" t="str">
        <f>INDEX(Lookup!$A$1:$A$126,MATCH(DataYY03!C270,Lookup!$C$1:$C$126,0))</f>
        <v>Elementary School</v>
      </c>
      <c r="B270" s="225" t="s">
        <v>149</v>
      </c>
      <c r="C270" s="205" t="s">
        <v>123</v>
      </c>
      <c r="D270" s="205" t="s">
        <v>23</v>
      </c>
      <c r="E270" s="206">
        <v>93882</v>
      </c>
      <c r="F270" s="207">
        <v>43952</v>
      </c>
      <c r="G270" s="206">
        <v>0</v>
      </c>
      <c r="H270" s="206">
        <v>0</v>
      </c>
      <c r="I270" s="208">
        <v>0</v>
      </c>
      <c r="J270" s="209">
        <v>5217.79</v>
      </c>
      <c r="K270" s="209">
        <v>903.92</v>
      </c>
      <c r="L270" s="210">
        <v>-82.67619049444305</v>
      </c>
      <c r="M270" s="206">
        <v>0</v>
      </c>
      <c r="N270" s="206">
        <v>0</v>
      </c>
      <c r="O270" s="208">
        <v>0</v>
      </c>
    </row>
    <row r="271" spans="1:15" ht="18.75">
      <c r="A271" s="221" t="str">
        <f>INDEX(Lookup!$A$1:$A$126,MATCH(DataYY03!C271,Lookup!$C$1:$C$126,0))</f>
        <v>Middle School</v>
      </c>
      <c r="B271" s="226" t="s">
        <v>149</v>
      </c>
      <c r="C271" s="205" t="s">
        <v>124</v>
      </c>
      <c r="D271" s="205" t="s">
        <v>23</v>
      </c>
      <c r="E271" s="206">
        <v>242116</v>
      </c>
      <c r="F271" s="207">
        <v>43952</v>
      </c>
      <c r="G271" s="206">
        <v>0</v>
      </c>
      <c r="H271" s="206">
        <v>0</v>
      </c>
      <c r="I271" s="208">
        <v>0</v>
      </c>
      <c r="J271" s="209">
        <v>7819.7</v>
      </c>
      <c r="K271" s="209">
        <v>6211.05</v>
      </c>
      <c r="L271" s="210">
        <v>-20.57176106500249</v>
      </c>
      <c r="M271" s="206">
        <v>0</v>
      </c>
      <c r="N271" s="206">
        <v>0</v>
      </c>
      <c r="O271" s="208">
        <v>0</v>
      </c>
    </row>
    <row r="272" spans="1:15" ht="18.75">
      <c r="A272" s="221" t="str">
        <f>INDEX(Lookup!$A$1:$A$126,MATCH(DataYY03!C272,Lookup!$C$1:$C$126,0))</f>
        <v>Elementary School</v>
      </c>
      <c r="B272" s="225" t="s">
        <v>149</v>
      </c>
      <c r="C272" s="205" t="s">
        <v>125</v>
      </c>
      <c r="D272" s="205" t="s">
        <v>23</v>
      </c>
      <c r="E272" s="206">
        <v>96096</v>
      </c>
      <c r="F272" s="207">
        <v>36526</v>
      </c>
      <c r="G272" s="206">
        <v>0</v>
      </c>
      <c r="H272" s="206">
        <v>0</v>
      </c>
      <c r="I272" s="208">
        <v>0</v>
      </c>
      <c r="J272" s="209">
        <v>1102.68</v>
      </c>
      <c r="K272" s="209">
        <v>454.45</v>
      </c>
      <c r="L272" s="210">
        <v>-58.78677404142634</v>
      </c>
      <c r="M272" s="206">
        <v>0</v>
      </c>
      <c r="N272" s="206">
        <v>0</v>
      </c>
      <c r="O272" s="208">
        <v>0</v>
      </c>
    </row>
    <row r="273" spans="1:15" ht="18.75">
      <c r="A273" s="221" t="str">
        <f>INDEX(Lookup!$A$1:$A$126,MATCH(DataYY03!C273,Lookup!$C$1:$C$126,0))</f>
        <v>Administration</v>
      </c>
      <c r="B273" s="226" t="s">
        <v>149</v>
      </c>
      <c r="C273" s="205" t="s">
        <v>126</v>
      </c>
      <c r="D273" s="205" t="s">
        <v>23</v>
      </c>
      <c r="E273" s="206">
        <v>22020</v>
      </c>
      <c r="F273" s="207">
        <v>36526</v>
      </c>
      <c r="G273" s="206">
        <v>0</v>
      </c>
      <c r="H273" s="206">
        <v>0</v>
      </c>
      <c r="I273" s="208">
        <v>0</v>
      </c>
      <c r="J273" s="209">
        <v>1647.4</v>
      </c>
      <c r="K273" s="209">
        <v>2264.88</v>
      </c>
      <c r="L273" s="210">
        <v>37.482092995022455</v>
      </c>
      <c r="M273" s="206">
        <v>0</v>
      </c>
      <c r="N273" s="206">
        <v>0</v>
      </c>
      <c r="O273" s="208">
        <v>0</v>
      </c>
    </row>
    <row r="274" spans="1:15" ht="18.75">
      <c r="A274" s="221" t="str">
        <f>INDEX(Lookup!$A$1:$A$126,MATCH(DataYY03!C274,Lookup!$C$1:$C$126,0))</f>
        <v>Middle School</v>
      </c>
      <c r="B274" s="225" t="s">
        <v>149</v>
      </c>
      <c r="C274" s="205" t="s">
        <v>128</v>
      </c>
      <c r="D274" s="205" t="s">
        <v>23</v>
      </c>
      <c r="E274" s="206">
        <v>230087</v>
      </c>
      <c r="F274" s="207">
        <v>43952</v>
      </c>
      <c r="G274" s="206">
        <v>0</v>
      </c>
      <c r="H274" s="206">
        <v>0</v>
      </c>
      <c r="I274" s="208">
        <v>0</v>
      </c>
      <c r="J274" s="209">
        <v>7453.58</v>
      </c>
      <c r="K274" s="209">
        <v>10608.59</v>
      </c>
      <c r="L274" s="210">
        <v>42.3287869721664</v>
      </c>
      <c r="M274" s="206">
        <v>0</v>
      </c>
      <c r="N274" s="206">
        <v>0</v>
      </c>
      <c r="O274" s="208">
        <v>0</v>
      </c>
    </row>
    <row r="275" spans="1:15" ht="18.75">
      <c r="A275" s="221" t="str">
        <f>INDEX(Lookup!$A$1:$A$126,MATCH(DataYY03!C275,Lookup!$C$1:$C$126,0))</f>
        <v>Middle School</v>
      </c>
      <c r="B275" s="226" t="s">
        <v>149</v>
      </c>
      <c r="C275" s="205" t="s">
        <v>129</v>
      </c>
      <c r="D275" s="205" t="s">
        <v>23</v>
      </c>
      <c r="E275" s="206">
        <v>235889</v>
      </c>
      <c r="F275" s="207">
        <v>36526</v>
      </c>
      <c r="G275" s="206">
        <v>0</v>
      </c>
      <c r="H275" s="206">
        <v>0</v>
      </c>
      <c r="I275" s="208">
        <v>0</v>
      </c>
      <c r="J275" s="209">
        <v>14974.79</v>
      </c>
      <c r="K275" s="209">
        <v>6670.74</v>
      </c>
      <c r="L275" s="210">
        <v>-55.45353223651217</v>
      </c>
      <c r="M275" s="206">
        <v>0</v>
      </c>
      <c r="N275" s="206">
        <v>0</v>
      </c>
      <c r="O275" s="208">
        <v>0</v>
      </c>
    </row>
    <row r="276" spans="1:15" ht="18.75">
      <c r="A276" s="221" t="str">
        <f>INDEX(Lookup!$A$1:$A$126,MATCH(DataYY03!C276,Lookup!$C$1:$C$126,0))</f>
        <v>Elementary School</v>
      </c>
      <c r="B276" s="225" t="s">
        <v>149</v>
      </c>
      <c r="C276" s="205" t="s">
        <v>130</v>
      </c>
      <c r="D276" s="205" t="s">
        <v>23</v>
      </c>
      <c r="E276" s="206">
        <v>107914</v>
      </c>
      <c r="F276" s="207">
        <v>36526</v>
      </c>
      <c r="G276" s="206">
        <v>0</v>
      </c>
      <c r="H276" s="206">
        <v>0</v>
      </c>
      <c r="I276" s="208">
        <v>0</v>
      </c>
      <c r="J276" s="209">
        <v>11701.4</v>
      </c>
      <c r="K276" s="209">
        <v>16808.75</v>
      </c>
      <c r="L276" s="210">
        <v>43.64734134377083</v>
      </c>
      <c r="M276" s="206">
        <v>0</v>
      </c>
      <c r="N276" s="206">
        <v>0</v>
      </c>
      <c r="O276" s="208">
        <v>0</v>
      </c>
    </row>
    <row r="277" spans="1:15" ht="18.75">
      <c r="A277" s="221" t="str">
        <f>INDEX(Lookup!$A$1:$A$126,MATCH(DataYY03!C277,Lookup!$C$1:$C$126,0))</f>
        <v>Elementary School</v>
      </c>
      <c r="B277" s="226" t="s">
        <v>149</v>
      </c>
      <c r="C277" s="205" t="s">
        <v>133</v>
      </c>
      <c r="D277" s="205" t="s">
        <v>17</v>
      </c>
      <c r="E277" s="206">
        <v>101727</v>
      </c>
      <c r="F277" s="207">
        <v>36526</v>
      </c>
      <c r="G277" s="206">
        <v>0</v>
      </c>
      <c r="H277" s="206">
        <v>0</v>
      </c>
      <c r="I277" s="208">
        <v>0</v>
      </c>
      <c r="J277" s="209">
        <v>1090.25</v>
      </c>
      <c r="K277" s="209">
        <v>540</v>
      </c>
      <c r="L277" s="210">
        <v>-50.470075670717726</v>
      </c>
      <c r="M277" s="206">
        <v>0</v>
      </c>
      <c r="N277" s="206">
        <v>0</v>
      </c>
      <c r="O277" s="208">
        <v>0</v>
      </c>
    </row>
    <row r="278" spans="1:15" ht="18.75">
      <c r="A278" s="221" t="str">
        <f>INDEX(Lookup!$A$1:$A$126,MATCH(DataYY03!C278,Lookup!$C$1:$C$126,0))</f>
        <v>Elementary School</v>
      </c>
      <c r="B278" s="225" t="s">
        <v>149</v>
      </c>
      <c r="C278" s="205" t="s">
        <v>135</v>
      </c>
      <c r="D278" s="205" t="s">
        <v>21</v>
      </c>
      <c r="E278" s="206">
        <v>99857</v>
      </c>
      <c r="F278" s="207">
        <v>43952</v>
      </c>
      <c r="G278" s="206">
        <v>0</v>
      </c>
      <c r="H278" s="206">
        <v>0</v>
      </c>
      <c r="I278" s="208">
        <v>0</v>
      </c>
      <c r="J278" s="209">
        <v>2568.42</v>
      </c>
      <c r="K278" s="209">
        <v>4897.38</v>
      </c>
      <c r="L278" s="210">
        <v>90.67675847408134</v>
      </c>
      <c r="M278" s="206">
        <v>0</v>
      </c>
      <c r="N278" s="206">
        <v>0</v>
      </c>
      <c r="O278" s="208">
        <v>0</v>
      </c>
    </row>
    <row r="279" spans="1:15" ht="18.75">
      <c r="A279" s="221" t="str">
        <f>INDEX(Lookup!$A$1:$A$126,MATCH(DataYY03!C279,Lookup!$C$1:$C$126,0))</f>
        <v>Elementary School</v>
      </c>
      <c r="B279" s="226" t="s">
        <v>149</v>
      </c>
      <c r="C279" s="205" t="s">
        <v>136</v>
      </c>
      <c r="D279" s="205" t="s">
        <v>23</v>
      </c>
      <c r="E279" s="206">
        <v>101523</v>
      </c>
      <c r="F279" s="207">
        <v>43952</v>
      </c>
      <c r="G279" s="206">
        <v>0</v>
      </c>
      <c r="H279" s="206">
        <v>0</v>
      </c>
      <c r="I279" s="208">
        <v>0</v>
      </c>
      <c r="J279" s="209">
        <v>7885.27</v>
      </c>
      <c r="K279" s="209">
        <v>6372.78</v>
      </c>
      <c r="L279" s="210">
        <v>-19.18120749194384</v>
      </c>
      <c r="M279" s="206">
        <v>0</v>
      </c>
      <c r="N279" s="206">
        <v>0</v>
      </c>
      <c r="O279" s="208">
        <v>0</v>
      </c>
    </row>
    <row r="280" spans="1:15" ht="18.75">
      <c r="A280" s="221" t="str">
        <f>INDEX(Lookup!$A$1:$A$126,MATCH(DataYY03!C280,Lookup!$C$1:$C$126,0))</f>
        <v>Elementary School</v>
      </c>
      <c r="B280" s="225" t="s">
        <v>149</v>
      </c>
      <c r="C280" s="205" t="s">
        <v>138</v>
      </c>
      <c r="D280" s="205" t="s">
        <v>23</v>
      </c>
      <c r="E280" s="206">
        <v>122878</v>
      </c>
      <c r="F280" s="207">
        <v>36526</v>
      </c>
      <c r="G280" s="206">
        <v>0</v>
      </c>
      <c r="H280" s="206">
        <v>0</v>
      </c>
      <c r="I280" s="208">
        <v>0</v>
      </c>
      <c r="J280" s="209">
        <v>15225.45</v>
      </c>
      <c r="K280" s="209">
        <v>4471.4</v>
      </c>
      <c r="L280" s="210">
        <v>-70.63206670410398</v>
      </c>
      <c r="M280" s="206">
        <v>0</v>
      </c>
      <c r="N280" s="206">
        <v>0</v>
      </c>
      <c r="O280" s="208">
        <v>0</v>
      </c>
    </row>
    <row r="281" spans="1:15" ht="18.75">
      <c r="A281" s="221" t="str">
        <f>INDEX(Lookup!$A$1:$A$126,MATCH(DataYY03!C281,Lookup!$C$1:$C$126,0))</f>
        <v>Administration</v>
      </c>
      <c r="B281" s="226" t="s">
        <v>149</v>
      </c>
      <c r="C281" s="205" t="s">
        <v>140</v>
      </c>
      <c r="D281" s="205" t="s">
        <v>23</v>
      </c>
      <c r="E281" s="206">
        <v>45340</v>
      </c>
      <c r="F281" s="207">
        <v>36526</v>
      </c>
      <c r="G281" s="206">
        <v>0</v>
      </c>
      <c r="H281" s="206">
        <v>0</v>
      </c>
      <c r="I281" s="208">
        <v>0</v>
      </c>
      <c r="J281" s="209">
        <v>248.79</v>
      </c>
      <c r="K281" s="209">
        <v>746.77</v>
      </c>
      <c r="L281" s="210">
        <v>200.160778166325</v>
      </c>
      <c r="M281" s="206">
        <v>0</v>
      </c>
      <c r="N281" s="206">
        <v>0</v>
      </c>
      <c r="O281" s="208">
        <v>0</v>
      </c>
    </row>
    <row r="282" spans="1:15" ht="18.75">
      <c r="A282" s="221" t="str">
        <f>INDEX(Lookup!$A$1:$A$126,MATCH(DataYY03!C282,Lookup!$C$1:$C$126,0))</f>
        <v>Elementary School</v>
      </c>
      <c r="B282" s="225" t="s">
        <v>149</v>
      </c>
      <c r="C282" s="205" t="s">
        <v>145</v>
      </c>
      <c r="D282" s="205" t="s">
        <v>23</v>
      </c>
      <c r="E282" s="206">
        <v>115438</v>
      </c>
      <c r="F282" s="207">
        <v>36526</v>
      </c>
      <c r="G282" s="206">
        <v>0</v>
      </c>
      <c r="H282" s="206">
        <v>0</v>
      </c>
      <c r="I282" s="208">
        <v>0</v>
      </c>
      <c r="J282" s="209">
        <v>1748.67</v>
      </c>
      <c r="K282" s="209">
        <v>916.27</v>
      </c>
      <c r="L282" s="210">
        <v>-47.60189172342409</v>
      </c>
      <c r="M282" s="206">
        <v>0</v>
      </c>
      <c r="N282" s="206">
        <v>0</v>
      </c>
      <c r="O282" s="208">
        <v>0</v>
      </c>
    </row>
    <row r="283" spans="1:15" ht="18.75">
      <c r="A283" s="221" t="str">
        <f>INDEX(Lookup!$A$1:$A$126,MATCH(DataYY03!C283,Lookup!$C$1:$C$126,0))</f>
        <v>Elementary School</v>
      </c>
      <c r="B283" s="226" t="s">
        <v>149</v>
      </c>
      <c r="C283" s="205" t="s">
        <v>146</v>
      </c>
      <c r="D283" s="205" t="s">
        <v>17</v>
      </c>
      <c r="E283" s="206">
        <v>81794</v>
      </c>
      <c r="F283" s="207">
        <v>36526</v>
      </c>
      <c r="G283" s="206">
        <v>0</v>
      </c>
      <c r="H283" s="206">
        <v>0</v>
      </c>
      <c r="I283" s="208">
        <v>0</v>
      </c>
      <c r="J283" s="209">
        <v>2529.86</v>
      </c>
      <c r="K283" s="209">
        <v>1617.69</v>
      </c>
      <c r="L283" s="210">
        <v>-36.056145399350164</v>
      </c>
      <c r="M283" s="206">
        <v>0</v>
      </c>
      <c r="N283" s="206">
        <v>0</v>
      </c>
      <c r="O283" s="208">
        <v>0</v>
      </c>
    </row>
    <row r="284" spans="1:15" ht="18.75">
      <c r="A284" s="221" t="str">
        <f>INDEX(Lookup!$A$1:$A$126,MATCH(DataYY03!C284,Lookup!$C$1:$C$126,0))</f>
        <v>Elementary School</v>
      </c>
      <c r="B284" s="225" t="s">
        <v>147</v>
      </c>
      <c r="C284" s="211" t="s">
        <v>16</v>
      </c>
      <c r="D284" s="211" t="s">
        <v>17</v>
      </c>
      <c r="E284" s="211">
        <v>109321</v>
      </c>
      <c r="F284" s="211">
        <v>36526</v>
      </c>
      <c r="G284" s="211">
        <v>500.477</v>
      </c>
      <c r="H284" s="211">
        <v>593.28</v>
      </c>
      <c r="I284" s="211">
        <v>18.54291006379914</v>
      </c>
      <c r="J284" s="211">
        <v>3041.09</v>
      </c>
      <c r="K284" s="211">
        <v>2522.49</v>
      </c>
      <c r="L284" s="211">
        <v>-17.053096093834778</v>
      </c>
      <c r="M284" s="211">
        <v>0</v>
      </c>
      <c r="N284" s="211">
        <v>0</v>
      </c>
      <c r="O284" s="212">
        <v>0</v>
      </c>
    </row>
    <row r="285" spans="1:15" ht="18.75">
      <c r="A285" s="221" t="str">
        <f>INDEX(Lookup!$A$1:$A$126,MATCH(DataYY03!C285,Lookup!$C$1:$C$126,0))</f>
        <v>Special School</v>
      </c>
      <c r="B285" s="226" t="s">
        <v>147</v>
      </c>
      <c r="C285" s="213" t="s">
        <v>19</v>
      </c>
      <c r="D285" s="213" t="s">
        <v>17</v>
      </c>
      <c r="E285" s="213">
        <v>56061</v>
      </c>
      <c r="F285" s="213">
        <v>36526</v>
      </c>
      <c r="G285" s="213">
        <v>440.325</v>
      </c>
      <c r="H285" s="213">
        <v>546.93</v>
      </c>
      <c r="I285" s="213">
        <v>24.210526315789476</v>
      </c>
      <c r="J285" s="213">
        <v>2750.97</v>
      </c>
      <c r="K285" s="213">
        <v>2352.61</v>
      </c>
      <c r="L285" s="213">
        <v>-14.480710440317416</v>
      </c>
      <c r="M285" s="213">
        <v>0</v>
      </c>
      <c r="N285" s="213">
        <v>0</v>
      </c>
      <c r="O285" s="214">
        <v>0</v>
      </c>
    </row>
    <row r="286" spans="1:15" ht="18.75">
      <c r="A286" s="221" t="str">
        <f>INDEX(Lookup!$A$1:$A$126,MATCH(DataYY03!C286,Lookup!$C$1:$C$126,0))</f>
        <v>Special School</v>
      </c>
      <c r="B286" s="225" t="s">
        <v>147</v>
      </c>
      <c r="C286" s="211" t="s">
        <v>20</v>
      </c>
      <c r="D286" s="211" t="s">
        <v>21</v>
      </c>
      <c r="E286" s="211">
        <v>50839</v>
      </c>
      <c r="F286" s="211">
        <v>36526</v>
      </c>
      <c r="G286" s="211">
        <v>399.53700000000003</v>
      </c>
      <c r="H286" s="211">
        <v>1103.13</v>
      </c>
      <c r="I286" s="211">
        <v>176.1020881670533</v>
      </c>
      <c r="J286" s="211">
        <v>2590.66</v>
      </c>
      <c r="K286" s="211">
        <v>4539.56</v>
      </c>
      <c r="L286" s="211">
        <v>75.22793419437518</v>
      </c>
      <c r="M286" s="211">
        <v>0</v>
      </c>
      <c r="N286" s="211">
        <v>0</v>
      </c>
      <c r="O286" s="212">
        <v>0</v>
      </c>
    </row>
    <row r="287" spans="1:15" ht="18.75">
      <c r="A287" s="221" t="str">
        <f>INDEX(Lookup!$A$1:$A$126,MATCH(DataYY03!C287,Lookup!$C$1:$C$126,0))</f>
        <v>Elementary School</v>
      </c>
      <c r="B287" s="226" t="s">
        <v>147</v>
      </c>
      <c r="C287" s="213" t="s">
        <v>22</v>
      </c>
      <c r="D287" s="213" t="s">
        <v>23</v>
      </c>
      <c r="E287" s="213">
        <v>107836</v>
      </c>
      <c r="F287" s="213">
        <v>36526</v>
      </c>
      <c r="G287" s="213">
        <v>589.2629999999999</v>
      </c>
      <c r="H287" s="213">
        <v>597.4</v>
      </c>
      <c r="I287" s="213">
        <v>1.380877468973963</v>
      </c>
      <c r="J287" s="213">
        <v>3525.12</v>
      </c>
      <c r="K287" s="213">
        <v>2525.89</v>
      </c>
      <c r="L287" s="213">
        <v>-28.345985384894696</v>
      </c>
      <c r="M287" s="213">
        <v>0</v>
      </c>
      <c r="N287" s="213">
        <v>0</v>
      </c>
      <c r="O287" s="214">
        <v>0</v>
      </c>
    </row>
    <row r="288" spans="1:15" ht="18.75">
      <c r="A288" s="221" t="str">
        <f>INDEX(Lookup!$A$1:$A$126,MATCH(DataYY03!C288,Lookup!$C$1:$C$126,0))</f>
        <v>Middle School</v>
      </c>
      <c r="B288" s="225" t="s">
        <v>147</v>
      </c>
      <c r="C288" s="211" t="s">
        <v>25</v>
      </c>
      <c r="D288" s="211" t="s">
        <v>23</v>
      </c>
      <c r="E288" s="211">
        <v>244123</v>
      </c>
      <c r="F288" s="211">
        <v>36526</v>
      </c>
      <c r="G288" s="211">
        <v>1547.781</v>
      </c>
      <c r="H288" s="211">
        <v>1864.3</v>
      </c>
      <c r="I288" s="211">
        <v>20.449856924203097</v>
      </c>
      <c r="J288" s="211">
        <v>8848.27</v>
      </c>
      <c r="K288" s="211">
        <v>7472.64</v>
      </c>
      <c r="L288" s="211">
        <v>-15.546880915704426</v>
      </c>
      <c r="M288" s="211">
        <v>0</v>
      </c>
      <c r="N288" s="211">
        <v>0</v>
      </c>
      <c r="O288" s="212">
        <v>0</v>
      </c>
    </row>
    <row r="289" spans="1:15" ht="18.75">
      <c r="A289" s="221" t="str">
        <f>INDEX(Lookup!$A$1:$A$126,MATCH(DataYY03!C289,Lookup!$C$1:$C$126,0))</f>
        <v>Middle School</v>
      </c>
      <c r="B289" s="226" t="s">
        <v>147</v>
      </c>
      <c r="C289" s="213" t="s">
        <v>26</v>
      </c>
      <c r="D289" s="213" t="s">
        <v>17</v>
      </c>
      <c r="E289" s="213">
        <v>219821</v>
      </c>
      <c r="F289" s="213">
        <v>36526</v>
      </c>
      <c r="G289" s="213">
        <v>1393.178</v>
      </c>
      <c r="H289" s="213">
        <v>1645.94</v>
      </c>
      <c r="I289" s="213">
        <v>18.14283601951795</v>
      </c>
      <c r="J289" s="213">
        <v>8118.71</v>
      </c>
      <c r="K289" s="213">
        <v>6875.86</v>
      </c>
      <c r="L289" s="213">
        <v>-15.308466492829526</v>
      </c>
      <c r="M289" s="213">
        <v>0</v>
      </c>
      <c r="N289" s="213">
        <v>0</v>
      </c>
      <c r="O289" s="214">
        <v>0</v>
      </c>
    </row>
    <row r="290" spans="1:15" ht="18.75">
      <c r="A290" s="221" t="str">
        <f>INDEX(Lookup!$A$1:$A$126,MATCH(DataYY03!C290,Lookup!$C$1:$C$126,0))</f>
        <v>Middle School</v>
      </c>
      <c r="B290" s="225" t="s">
        <v>147</v>
      </c>
      <c r="C290" s="211" t="s">
        <v>27</v>
      </c>
      <c r="D290" s="211" t="s">
        <v>23</v>
      </c>
      <c r="E290" s="211">
        <v>211238</v>
      </c>
      <c r="F290" s="211">
        <v>36526</v>
      </c>
      <c r="G290" s="211">
        <v>6378.79</v>
      </c>
      <c r="H290" s="211">
        <v>8152.45</v>
      </c>
      <c r="I290" s="211">
        <v>27.805586953011467</v>
      </c>
      <c r="J290" s="211">
        <v>33901.21</v>
      </c>
      <c r="K290" s="211">
        <v>32549.53</v>
      </c>
      <c r="L290" s="211">
        <v>-3.9871143242379845</v>
      </c>
      <c r="M290" s="211">
        <v>0</v>
      </c>
      <c r="N290" s="211">
        <v>0</v>
      </c>
      <c r="O290" s="212">
        <v>0</v>
      </c>
    </row>
    <row r="291" spans="1:15" ht="18.75">
      <c r="A291" s="221" t="str">
        <f>INDEX(Lookup!$A$1:$A$126,MATCH(DataYY03!C291,Lookup!$C$1:$C$126,0))</f>
        <v>Elementary School</v>
      </c>
      <c r="B291" s="226" t="s">
        <v>147</v>
      </c>
      <c r="C291" s="213" t="s">
        <v>28</v>
      </c>
      <c r="D291" s="213" t="s">
        <v>23</v>
      </c>
      <c r="E291" s="213">
        <v>89416</v>
      </c>
      <c r="F291" s="213">
        <v>36526</v>
      </c>
      <c r="G291" s="213">
        <v>497.593</v>
      </c>
      <c r="H291" s="213">
        <v>415.09</v>
      </c>
      <c r="I291" s="213">
        <v>-16.580418132891747</v>
      </c>
      <c r="J291" s="213">
        <v>2996.95</v>
      </c>
      <c r="K291" s="213">
        <v>1928.01</v>
      </c>
      <c r="L291" s="213">
        <v>-35.667595388645125</v>
      </c>
      <c r="M291" s="213">
        <v>0</v>
      </c>
      <c r="N291" s="213">
        <v>0</v>
      </c>
      <c r="O291" s="214">
        <v>0</v>
      </c>
    </row>
    <row r="292" spans="1:15" ht="18.75">
      <c r="A292" s="221" t="str">
        <f>INDEX(Lookup!$A$1:$A$126,MATCH(DataYY03!C292,Lookup!$C$1:$C$126,0))</f>
        <v>Elementary School</v>
      </c>
      <c r="B292" s="225" t="s">
        <v>147</v>
      </c>
      <c r="C292" s="211" t="s">
        <v>29</v>
      </c>
      <c r="D292" s="211" t="s">
        <v>17</v>
      </c>
      <c r="E292" s="211">
        <v>106804</v>
      </c>
      <c r="F292" s="211">
        <v>36526</v>
      </c>
      <c r="G292" s="211">
        <v>352.26</v>
      </c>
      <c r="H292" s="211">
        <v>831.21</v>
      </c>
      <c r="I292" s="211">
        <v>135.96491228070175</v>
      </c>
      <c r="J292" s="211">
        <v>2065.49</v>
      </c>
      <c r="K292" s="211">
        <v>3452.43</v>
      </c>
      <c r="L292" s="211">
        <v>67.14823117032762</v>
      </c>
      <c r="M292" s="211">
        <v>0</v>
      </c>
      <c r="N292" s="211">
        <v>0</v>
      </c>
      <c r="O292" s="212">
        <v>0</v>
      </c>
    </row>
    <row r="293" spans="1:15" ht="18.75">
      <c r="A293" s="221" t="str">
        <f>INDEX(Lookup!$A$1:$A$126,MATCH(DataYY03!C293,Lookup!$C$1:$C$126,0))</f>
        <v>Elementary School</v>
      </c>
      <c r="B293" s="226" t="s">
        <v>147</v>
      </c>
      <c r="C293" s="213" t="s">
        <v>30</v>
      </c>
      <c r="D293" s="213" t="s">
        <v>17</v>
      </c>
      <c r="E293" s="213">
        <v>85320</v>
      </c>
      <c r="F293" s="213">
        <v>36526</v>
      </c>
      <c r="G293" s="213">
        <v>382.439</v>
      </c>
      <c r="H293" s="213">
        <v>600.49</v>
      </c>
      <c r="I293" s="213">
        <v>57.01589011580931</v>
      </c>
      <c r="J293" s="213">
        <v>2386.3</v>
      </c>
      <c r="K293" s="213">
        <v>2544.07</v>
      </c>
      <c r="L293" s="213">
        <v>6.611490592130076</v>
      </c>
      <c r="M293" s="213">
        <v>0</v>
      </c>
      <c r="N293" s="213">
        <v>0</v>
      </c>
      <c r="O293" s="214">
        <v>0</v>
      </c>
    </row>
    <row r="294" spans="1:15" ht="18.75">
      <c r="A294" s="221" t="str">
        <f>INDEX(Lookup!$A$1:$A$126,MATCH(DataYY03!C294,Lookup!$C$1:$C$126,0))</f>
        <v>Administration</v>
      </c>
      <c r="B294" s="225" t="s">
        <v>147</v>
      </c>
      <c r="C294" s="211" t="s">
        <v>32</v>
      </c>
      <c r="D294" s="211" t="s">
        <v>17</v>
      </c>
      <c r="E294" s="211">
        <v>22677</v>
      </c>
      <c r="F294" s="211">
        <v>36526</v>
      </c>
      <c r="G294" s="211">
        <v>120.81899999999997</v>
      </c>
      <c r="H294" s="211">
        <v>181.28</v>
      </c>
      <c r="I294" s="211">
        <v>50.04262574595058</v>
      </c>
      <c r="J294" s="211">
        <v>895.71</v>
      </c>
      <c r="K294" s="211">
        <v>930.36</v>
      </c>
      <c r="L294" s="211">
        <v>3.8684395619117793</v>
      </c>
      <c r="M294" s="211">
        <v>0</v>
      </c>
      <c r="N294" s="211">
        <v>0</v>
      </c>
      <c r="O294" s="212">
        <v>0</v>
      </c>
    </row>
    <row r="295" spans="1:15" ht="18.75">
      <c r="A295" s="221" t="str">
        <f>INDEX(Lookup!$A$1:$A$126,MATCH(DataYY03!C295,Lookup!$C$1:$C$126,0))</f>
        <v>Administration</v>
      </c>
      <c r="B295" s="226" t="s">
        <v>147</v>
      </c>
      <c r="C295" s="213" t="s">
        <v>33</v>
      </c>
      <c r="D295" s="213" t="s">
        <v>23</v>
      </c>
      <c r="E295" s="213">
        <v>491434</v>
      </c>
      <c r="F295" s="213">
        <v>36526</v>
      </c>
      <c r="G295" s="213">
        <v>4140.6</v>
      </c>
      <c r="H295" s="213">
        <v>3976.83</v>
      </c>
      <c r="I295" s="213">
        <v>-3.955223880597015</v>
      </c>
      <c r="J295" s="213">
        <v>22324.71</v>
      </c>
      <c r="K295" s="213">
        <v>17847.88</v>
      </c>
      <c r="L295" s="213">
        <v>-20.053250411763468</v>
      </c>
      <c r="M295" s="213">
        <v>0</v>
      </c>
      <c r="N295" s="213">
        <v>0</v>
      </c>
      <c r="O295" s="214">
        <v>0</v>
      </c>
    </row>
    <row r="296" spans="1:15" ht="18.75">
      <c r="A296" s="221" t="str">
        <f>INDEX(Lookup!$A$1:$A$126,MATCH(DataYY03!C296,Lookup!$C$1:$C$126,0))</f>
        <v>Elementary School</v>
      </c>
      <c r="B296" s="225" t="s">
        <v>147</v>
      </c>
      <c r="C296" s="211" t="s">
        <v>34</v>
      </c>
      <c r="D296" s="211" t="s">
        <v>17</v>
      </c>
      <c r="E296" s="211">
        <v>106488</v>
      </c>
      <c r="F296" s="211">
        <v>36526</v>
      </c>
      <c r="G296" s="211">
        <v>819.159</v>
      </c>
      <c r="H296" s="211">
        <v>724.09</v>
      </c>
      <c r="I296" s="211">
        <v>-11.605683389915749</v>
      </c>
      <c r="J296" s="211">
        <v>4804.64</v>
      </c>
      <c r="K296" s="211">
        <v>3262.68</v>
      </c>
      <c r="L296" s="211">
        <v>-32.093143294815015</v>
      </c>
      <c r="M296" s="211">
        <v>0</v>
      </c>
      <c r="N296" s="211">
        <v>0</v>
      </c>
      <c r="O296" s="212">
        <v>0</v>
      </c>
    </row>
    <row r="297" spans="1:15" ht="18.75">
      <c r="A297" s="221" t="str">
        <f>INDEX(Lookup!$A$1:$A$126,MATCH(DataYY03!C297,Lookup!$C$1:$C$126,0))</f>
        <v>Elementary School</v>
      </c>
      <c r="B297" s="226" t="s">
        <v>147</v>
      </c>
      <c r="C297" s="213" t="s">
        <v>35</v>
      </c>
      <c r="D297" s="213" t="s">
        <v>23</v>
      </c>
      <c r="E297" s="213">
        <v>98920</v>
      </c>
      <c r="F297" s="213">
        <v>43952</v>
      </c>
      <c r="G297" s="213">
        <v>319.094</v>
      </c>
      <c r="H297" s="213">
        <v>440.84</v>
      </c>
      <c r="I297" s="213">
        <v>38.15364751452549</v>
      </c>
      <c r="J297" s="213">
        <v>1934.78</v>
      </c>
      <c r="K297" s="213">
        <v>2042.57</v>
      </c>
      <c r="L297" s="213">
        <v>5.571176051023889</v>
      </c>
      <c r="M297" s="213">
        <v>0</v>
      </c>
      <c r="N297" s="213">
        <v>0</v>
      </c>
      <c r="O297" s="214">
        <v>0</v>
      </c>
    </row>
    <row r="298" spans="1:15" ht="18.75">
      <c r="A298" s="221" t="str">
        <f>INDEX(Lookup!$A$1:$A$126,MATCH(DataYY03!C298,Lookup!$C$1:$C$126,0))</f>
        <v>Middle School</v>
      </c>
      <c r="B298" s="225" t="s">
        <v>147</v>
      </c>
      <c r="C298" s="211" t="s">
        <v>36</v>
      </c>
      <c r="D298" s="211" t="s">
        <v>17</v>
      </c>
      <c r="E298" s="211">
        <v>229363</v>
      </c>
      <c r="F298" s="211">
        <v>36526</v>
      </c>
      <c r="G298" s="211">
        <v>3308.36</v>
      </c>
      <c r="H298" s="211">
        <v>3382.52</v>
      </c>
      <c r="I298" s="211">
        <v>2.2415940224159403</v>
      </c>
      <c r="J298" s="211">
        <v>21021.74</v>
      </c>
      <c r="K298" s="211">
        <v>13573.43</v>
      </c>
      <c r="L298" s="211">
        <v>-35.431462857023256</v>
      </c>
      <c r="M298" s="211">
        <v>0</v>
      </c>
      <c r="N298" s="211">
        <v>0</v>
      </c>
      <c r="O298" s="212">
        <v>0</v>
      </c>
    </row>
    <row r="299" spans="1:15" ht="18.75">
      <c r="A299" s="221" t="str">
        <f>INDEX(Lookup!$A$1:$A$126,MATCH(DataYY03!C299,Lookup!$C$1:$C$126,0))</f>
        <v>Administration</v>
      </c>
      <c r="B299" s="226" t="s">
        <v>147</v>
      </c>
      <c r="C299" s="213" t="s">
        <v>37</v>
      </c>
      <c r="D299" s="213" t="s">
        <v>23</v>
      </c>
      <c r="E299" s="213">
        <v>19680</v>
      </c>
      <c r="F299" s="213">
        <v>43952</v>
      </c>
      <c r="G299" s="213">
        <v>212.798</v>
      </c>
      <c r="H299" s="213">
        <v>224.54</v>
      </c>
      <c r="I299" s="213">
        <v>5.517909002904166</v>
      </c>
      <c r="J299" s="213">
        <v>1429.66</v>
      </c>
      <c r="K299" s="213">
        <v>1063.72</v>
      </c>
      <c r="L299" s="213">
        <v>-25.596295622735475</v>
      </c>
      <c r="M299" s="213">
        <v>0</v>
      </c>
      <c r="N299" s="213">
        <v>0</v>
      </c>
      <c r="O299" s="214">
        <v>0</v>
      </c>
    </row>
    <row r="300" spans="1:15" ht="18.75">
      <c r="A300" s="221" t="str">
        <f>INDEX(Lookup!$A$1:$A$126,MATCH(DataYY03!C300,Lookup!$C$1:$C$126,0))</f>
        <v>Special School</v>
      </c>
      <c r="B300" s="225" t="s">
        <v>147</v>
      </c>
      <c r="C300" s="211" t="s">
        <v>222</v>
      </c>
      <c r="D300" s="211" t="s">
        <v>17</v>
      </c>
      <c r="E300" s="211">
        <v>85895</v>
      </c>
      <c r="F300" s="211">
        <v>43952</v>
      </c>
      <c r="G300" s="211">
        <v>128.338</v>
      </c>
      <c r="H300" s="211">
        <v>470.71</v>
      </c>
      <c r="I300" s="211">
        <v>266.77367576243984</v>
      </c>
      <c r="J300" s="211">
        <v>1047.82</v>
      </c>
      <c r="K300" s="211">
        <v>1968.42</v>
      </c>
      <c r="L300" s="211">
        <v>87.85860166822546</v>
      </c>
      <c r="M300" s="211">
        <v>0</v>
      </c>
      <c r="N300" s="211">
        <v>0</v>
      </c>
      <c r="O300" s="212">
        <v>0</v>
      </c>
    </row>
    <row r="301" spans="1:15" ht="18.75">
      <c r="A301" s="221" t="str">
        <f>INDEX(Lookup!$A$1:$A$126,MATCH(DataYY03!C301,Lookup!$C$1:$C$126,0))</f>
        <v>High School</v>
      </c>
      <c r="B301" s="226" t="s">
        <v>147</v>
      </c>
      <c r="C301" s="213" t="s">
        <v>39</v>
      </c>
      <c r="D301" s="213" t="s">
        <v>23</v>
      </c>
      <c r="E301" s="213">
        <v>573468</v>
      </c>
      <c r="F301" s="213">
        <v>36526</v>
      </c>
      <c r="G301" s="213">
        <v>7517.97</v>
      </c>
      <c r="H301" s="213">
        <v>3797.61</v>
      </c>
      <c r="I301" s="213">
        <v>-49.486230990546645</v>
      </c>
      <c r="J301" s="213">
        <v>39413.82</v>
      </c>
      <c r="K301" s="213">
        <v>15652.41</v>
      </c>
      <c r="L301" s="213">
        <v>-60.28700085401517</v>
      </c>
      <c r="M301" s="213">
        <v>0</v>
      </c>
      <c r="N301" s="213">
        <v>0</v>
      </c>
      <c r="O301" s="214">
        <v>0</v>
      </c>
    </row>
    <row r="302" spans="1:15" ht="18.75">
      <c r="A302" s="221" t="str">
        <f>INDEX(Lookup!$A$1:$A$126,MATCH(DataYY03!C302,Lookup!$C$1:$C$126,0))</f>
        <v>Middle School</v>
      </c>
      <c r="B302" s="225" t="s">
        <v>147</v>
      </c>
      <c r="C302" s="211" t="s">
        <v>40</v>
      </c>
      <c r="D302" s="211" t="s">
        <v>17</v>
      </c>
      <c r="E302" s="211">
        <v>232039</v>
      </c>
      <c r="F302" s="211">
        <v>43952</v>
      </c>
      <c r="G302" s="211">
        <v>3195.06</v>
      </c>
      <c r="H302" s="211">
        <v>2591.48</v>
      </c>
      <c r="I302" s="211">
        <v>-18.89103803997421</v>
      </c>
      <c r="J302" s="211">
        <v>20076.91</v>
      </c>
      <c r="K302" s="211">
        <v>10568.97</v>
      </c>
      <c r="L302" s="211">
        <v>-47.35758640149305</v>
      </c>
      <c r="M302" s="211">
        <v>0</v>
      </c>
      <c r="N302" s="211">
        <v>0</v>
      </c>
      <c r="O302" s="212">
        <v>0</v>
      </c>
    </row>
    <row r="303" spans="1:15" ht="18.75">
      <c r="A303" s="221" t="str">
        <f>INDEX(Lookup!$A$1:$A$126,MATCH(DataYY03!C303,Lookup!$C$1:$C$126,0))</f>
        <v>Administration</v>
      </c>
      <c r="B303" s="226" t="s">
        <v>147</v>
      </c>
      <c r="C303" s="213" t="s">
        <v>41</v>
      </c>
      <c r="D303" s="213" t="s">
        <v>17</v>
      </c>
      <c r="E303" s="213">
        <v>49471</v>
      </c>
      <c r="F303" s="213">
        <v>36526</v>
      </c>
      <c r="G303" s="213">
        <v>17400.82</v>
      </c>
      <c r="H303" s="213">
        <v>19882.09</v>
      </c>
      <c r="I303" s="213">
        <v>14.25950041434829</v>
      </c>
      <c r="J303" s="213">
        <v>78720</v>
      </c>
      <c r="K303" s="213">
        <v>68425.6</v>
      </c>
      <c r="L303" s="213">
        <v>-13.077235772357724</v>
      </c>
      <c r="M303" s="213">
        <v>0</v>
      </c>
      <c r="N303" s="213">
        <v>0</v>
      </c>
      <c r="O303" s="214">
        <v>0</v>
      </c>
    </row>
    <row r="304" spans="1:15" ht="18.75">
      <c r="A304" s="221" t="str">
        <f>INDEX(Lookup!$A$1:$A$126,MATCH(DataYY03!C304,Lookup!$C$1:$C$126,0))</f>
        <v>Middle School</v>
      </c>
      <c r="B304" s="225" t="s">
        <v>147</v>
      </c>
      <c r="C304" s="211" t="s">
        <v>42</v>
      </c>
      <c r="D304" s="211" t="s">
        <v>17</v>
      </c>
      <c r="E304" s="211">
        <v>205797</v>
      </c>
      <c r="F304" s="211">
        <v>43952</v>
      </c>
      <c r="G304" s="211">
        <v>1042.36</v>
      </c>
      <c r="H304" s="211">
        <v>1356.51</v>
      </c>
      <c r="I304" s="211">
        <v>30.138339920948614</v>
      </c>
      <c r="J304" s="211">
        <v>6257.77</v>
      </c>
      <c r="K304" s="211">
        <v>5516.56</v>
      </c>
      <c r="L304" s="211">
        <v>-11.844634750078704</v>
      </c>
      <c r="M304" s="211">
        <v>0</v>
      </c>
      <c r="N304" s="211">
        <v>0</v>
      </c>
      <c r="O304" s="212">
        <v>0</v>
      </c>
    </row>
    <row r="305" spans="1:15" ht="18.75">
      <c r="A305" s="221" t="str">
        <f>INDEX(Lookup!$A$1:$A$126,MATCH(DataYY03!C305,Lookup!$C$1:$C$126,0))</f>
        <v>Elementary School</v>
      </c>
      <c r="B305" s="226" t="s">
        <v>147</v>
      </c>
      <c r="C305" s="213" t="s">
        <v>43</v>
      </c>
      <c r="D305" s="213" t="s">
        <v>17</v>
      </c>
      <c r="E305" s="213">
        <v>86318</v>
      </c>
      <c r="F305" s="213">
        <v>36526</v>
      </c>
      <c r="G305" s="213">
        <v>273.98</v>
      </c>
      <c r="H305" s="213">
        <v>262.65</v>
      </c>
      <c r="I305" s="213">
        <v>-4.135338345864662</v>
      </c>
      <c r="J305" s="213">
        <v>1796.05</v>
      </c>
      <c r="K305" s="213">
        <v>1497.1</v>
      </c>
      <c r="L305" s="213">
        <v>-16.644859552907768</v>
      </c>
      <c r="M305" s="213">
        <v>0</v>
      </c>
      <c r="N305" s="213">
        <v>0</v>
      </c>
      <c r="O305" s="214">
        <v>0</v>
      </c>
    </row>
    <row r="306" spans="1:15" ht="18.75">
      <c r="A306" s="221" t="str">
        <f>INDEX(Lookup!$A$1:$A$126,MATCH(DataYY03!C306,Lookup!$C$1:$C$126,0))</f>
        <v>High School</v>
      </c>
      <c r="B306" s="225" t="s">
        <v>147</v>
      </c>
      <c r="C306" s="211" t="s">
        <v>44</v>
      </c>
      <c r="D306" s="211" t="s">
        <v>17</v>
      </c>
      <c r="E306" s="211">
        <v>527749</v>
      </c>
      <c r="F306" s="211">
        <v>43952</v>
      </c>
      <c r="G306" s="211">
        <v>5568.18</v>
      </c>
      <c r="H306" s="211">
        <v>7515.91</v>
      </c>
      <c r="I306" s="211">
        <v>34.97965223825379</v>
      </c>
      <c r="J306" s="211">
        <v>28643.03</v>
      </c>
      <c r="K306" s="211">
        <v>28020.25</v>
      </c>
      <c r="L306" s="211">
        <v>-2.1742811427422306</v>
      </c>
      <c r="M306" s="211">
        <v>0</v>
      </c>
      <c r="N306" s="211">
        <v>0</v>
      </c>
      <c r="O306" s="212">
        <v>0</v>
      </c>
    </row>
    <row r="307" spans="1:15" ht="18.75">
      <c r="A307" s="221" t="s">
        <v>18</v>
      </c>
      <c r="B307" s="226" t="s">
        <v>147</v>
      </c>
      <c r="C307" s="213" t="s">
        <v>165</v>
      </c>
      <c r="D307" s="213" t="s">
        <v>17</v>
      </c>
      <c r="E307" s="213">
        <v>0</v>
      </c>
      <c r="F307" s="213">
        <v>36526</v>
      </c>
      <c r="G307" s="213">
        <v>198.069</v>
      </c>
      <c r="H307" s="213">
        <v>197.76</v>
      </c>
      <c r="I307" s="213">
        <v>-0.156006240249599</v>
      </c>
      <c r="J307" s="213">
        <v>1360.92</v>
      </c>
      <c r="K307" s="213">
        <v>1147.39</v>
      </c>
      <c r="L307" s="213">
        <v>-15.690121388472503</v>
      </c>
      <c r="M307" s="213">
        <v>0</v>
      </c>
      <c r="N307" s="213">
        <v>0</v>
      </c>
      <c r="O307" s="214">
        <v>0</v>
      </c>
    </row>
    <row r="308" spans="1:15" ht="18.75">
      <c r="A308" s="221" t="str">
        <f>INDEX(Lookup!$A$1:$A$126,MATCH(DataYY03!C308,Lookup!$C$1:$C$126,0))</f>
        <v>High School</v>
      </c>
      <c r="B308" s="225" t="s">
        <v>147</v>
      </c>
      <c r="C308" s="211" t="s">
        <v>48</v>
      </c>
      <c r="D308" s="211" t="s">
        <v>17</v>
      </c>
      <c r="E308" s="211">
        <v>567967</v>
      </c>
      <c r="F308" s="211">
        <v>43952</v>
      </c>
      <c r="G308" s="211">
        <v>4339.39</v>
      </c>
      <c r="H308" s="211">
        <v>3450.5</v>
      </c>
      <c r="I308" s="211">
        <v>-20.484215523380012</v>
      </c>
      <c r="J308" s="211">
        <v>27314.83</v>
      </c>
      <c r="K308" s="211">
        <v>14829.63</v>
      </c>
      <c r="L308" s="211">
        <v>-45.708503402730315</v>
      </c>
      <c r="M308" s="211">
        <v>0</v>
      </c>
      <c r="N308" s="211">
        <v>0</v>
      </c>
      <c r="O308" s="212">
        <v>0</v>
      </c>
    </row>
    <row r="309" spans="1:15" ht="18.75">
      <c r="A309" s="221" t="str">
        <f>INDEX(Lookup!$A$1:$A$126,MATCH(DataYY03!C309,Lookup!$C$1:$C$126,0))</f>
        <v>High School</v>
      </c>
      <c r="B309" s="226" t="s">
        <v>147</v>
      </c>
      <c r="C309" s="213" t="s">
        <v>49</v>
      </c>
      <c r="D309" s="213" t="s">
        <v>21</v>
      </c>
      <c r="E309" s="213">
        <v>514068</v>
      </c>
      <c r="F309" s="213">
        <v>43952</v>
      </c>
      <c r="G309" s="213">
        <v>5813.32</v>
      </c>
      <c r="H309" s="213">
        <v>5499.17</v>
      </c>
      <c r="I309" s="213">
        <v>-5.40396881644224</v>
      </c>
      <c r="J309" s="213">
        <v>29793.34</v>
      </c>
      <c r="K309" s="213">
        <v>22077.29</v>
      </c>
      <c r="L309" s="213">
        <v>-25.898573305309174</v>
      </c>
      <c r="M309" s="213">
        <v>0</v>
      </c>
      <c r="N309" s="213">
        <v>0</v>
      </c>
      <c r="O309" s="214">
        <v>0</v>
      </c>
    </row>
    <row r="310" spans="1:15" ht="18.75">
      <c r="A310" s="221" t="str">
        <f>INDEX(Lookup!$A$1:$A$126,MATCH(DataYY03!C310,Lookup!$C$1:$C$126,0))</f>
        <v>High School</v>
      </c>
      <c r="B310" s="225" t="s">
        <v>147</v>
      </c>
      <c r="C310" s="211" t="s">
        <v>50</v>
      </c>
      <c r="D310" s="211" t="s">
        <v>23</v>
      </c>
      <c r="E310" s="211">
        <v>590057</v>
      </c>
      <c r="F310" s="211">
        <v>36526</v>
      </c>
      <c r="G310" s="211">
        <v>7825.94</v>
      </c>
      <c r="H310" s="211">
        <v>9222.62</v>
      </c>
      <c r="I310" s="211">
        <v>17.846801789944724</v>
      </c>
      <c r="J310" s="211">
        <v>38883.91</v>
      </c>
      <c r="K310" s="211">
        <v>33891.4</v>
      </c>
      <c r="L310" s="211">
        <v>-12.839526683401953</v>
      </c>
      <c r="M310" s="211">
        <v>0</v>
      </c>
      <c r="N310" s="211">
        <v>0</v>
      </c>
      <c r="O310" s="212">
        <v>0</v>
      </c>
    </row>
    <row r="311" spans="1:15" ht="18.75">
      <c r="A311" s="221" t="str">
        <f>INDEX(Lookup!$A$1:$A$126,MATCH(DataYY03!C311,Lookup!$C$1:$C$126,0))</f>
        <v>High School</v>
      </c>
      <c r="B311" s="226" t="s">
        <v>147</v>
      </c>
      <c r="C311" s="213" t="s">
        <v>51</v>
      </c>
      <c r="D311" s="213" t="s">
        <v>23</v>
      </c>
      <c r="E311" s="213">
        <v>527131</v>
      </c>
      <c r="F311" s="213">
        <v>43952</v>
      </c>
      <c r="G311" s="213">
        <v>5030.005000000001</v>
      </c>
      <c r="H311" s="213">
        <v>4599.98</v>
      </c>
      <c r="I311" s="213">
        <v>-8.549196273164748</v>
      </c>
      <c r="J311" s="213">
        <v>27361.98</v>
      </c>
      <c r="K311" s="213">
        <v>18799.78</v>
      </c>
      <c r="L311" s="213">
        <v>-31.292326067046318</v>
      </c>
      <c r="M311" s="213">
        <v>0</v>
      </c>
      <c r="N311" s="213">
        <v>0</v>
      </c>
      <c r="O311" s="214">
        <v>0</v>
      </c>
    </row>
    <row r="312" spans="1:15" ht="18.75">
      <c r="A312" s="221" t="str">
        <f>INDEX(Lookup!$A$1:$A$126,MATCH(DataYY03!C312,Lookup!$C$1:$C$126,0))</f>
        <v>High School</v>
      </c>
      <c r="B312" s="225" t="s">
        <v>147</v>
      </c>
      <c r="C312" s="211" t="s">
        <v>52</v>
      </c>
      <c r="D312" s="211" t="s">
        <v>17</v>
      </c>
      <c r="E312" s="211">
        <v>499564</v>
      </c>
      <c r="F312" s="211">
        <v>43952</v>
      </c>
      <c r="G312" s="211">
        <v>4366.17</v>
      </c>
      <c r="H312" s="211">
        <v>5276.69</v>
      </c>
      <c r="I312" s="211">
        <v>20.853974994102384</v>
      </c>
      <c r="J312" s="211">
        <v>23176.72</v>
      </c>
      <c r="K312" s="211">
        <v>20806.02</v>
      </c>
      <c r="L312" s="211">
        <v>-10.228798553030801</v>
      </c>
      <c r="M312" s="211">
        <v>0</v>
      </c>
      <c r="N312" s="211">
        <v>0</v>
      </c>
      <c r="O312" s="212">
        <v>0</v>
      </c>
    </row>
    <row r="313" spans="1:15" ht="18.75">
      <c r="A313" s="221" t="str">
        <f>INDEX(Lookup!$A$1:$A$126,MATCH(DataYY03!C313,Lookup!$C$1:$C$126,0))</f>
        <v>High School</v>
      </c>
      <c r="B313" s="226" t="s">
        <v>147</v>
      </c>
      <c r="C313" s="213" t="s">
        <v>53</v>
      </c>
      <c r="D313" s="213" t="s">
        <v>23</v>
      </c>
      <c r="E313" s="213">
        <v>478618</v>
      </c>
      <c r="F313" s="213">
        <v>43952</v>
      </c>
      <c r="G313" s="213">
        <v>3922.24</v>
      </c>
      <c r="H313" s="213">
        <v>5105.71</v>
      </c>
      <c r="I313" s="213">
        <v>30.173319327731093</v>
      </c>
      <c r="J313" s="213">
        <v>21451.07</v>
      </c>
      <c r="K313" s="213">
        <v>20140.34</v>
      </c>
      <c r="L313" s="213">
        <v>-6.110324566560084</v>
      </c>
      <c r="M313" s="213">
        <v>0</v>
      </c>
      <c r="N313" s="213">
        <v>0</v>
      </c>
      <c r="O313" s="214">
        <v>0</v>
      </c>
    </row>
    <row r="314" spans="1:15" ht="18.75">
      <c r="A314" s="221" t="s">
        <v>18</v>
      </c>
      <c r="B314" s="225" t="s">
        <v>147</v>
      </c>
      <c r="C314" s="211" t="s">
        <v>166</v>
      </c>
      <c r="D314" s="211" t="s">
        <v>23</v>
      </c>
      <c r="E314" s="211">
        <v>37977</v>
      </c>
      <c r="F314" s="211">
        <v>36526</v>
      </c>
      <c r="G314" s="211">
        <v>33.681</v>
      </c>
      <c r="H314" s="211">
        <v>30.9</v>
      </c>
      <c r="I314" s="211">
        <v>-8.256880733944952</v>
      </c>
      <c r="J314" s="211">
        <v>459.64</v>
      </c>
      <c r="K314" s="211">
        <v>559.18</v>
      </c>
      <c r="L314" s="211">
        <v>21.656078670263682</v>
      </c>
      <c r="M314" s="211">
        <v>0</v>
      </c>
      <c r="N314" s="211">
        <v>0</v>
      </c>
      <c r="O314" s="212">
        <v>0</v>
      </c>
    </row>
    <row r="315" spans="1:15" ht="18.75">
      <c r="A315" s="221" t="str">
        <f>INDEX(Lookup!$A$1:$A$126,MATCH(DataYY03!C315,Lookup!$C$1:$C$126,0))</f>
        <v>High School</v>
      </c>
      <c r="B315" s="226" t="s">
        <v>147</v>
      </c>
      <c r="C315" s="213" t="s">
        <v>54</v>
      </c>
      <c r="D315" s="213" t="s">
        <v>23</v>
      </c>
      <c r="E315" s="213">
        <v>499473</v>
      </c>
      <c r="F315" s="213">
        <v>43952</v>
      </c>
      <c r="G315" s="213">
        <v>5509.47</v>
      </c>
      <c r="H315" s="213">
        <v>5993.57</v>
      </c>
      <c r="I315" s="213">
        <v>8.786689100766498</v>
      </c>
      <c r="J315" s="213">
        <v>27711.61</v>
      </c>
      <c r="K315" s="213">
        <v>23522.88</v>
      </c>
      <c r="L315" s="213">
        <v>-15.11543356737483</v>
      </c>
      <c r="M315" s="213">
        <v>0</v>
      </c>
      <c r="N315" s="213">
        <v>0</v>
      </c>
      <c r="O315" s="214">
        <v>0</v>
      </c>
    </row>
    <row r="316" spans="1:15" ht="18.75">
      <c r="A316" s="221" t="str">
        <f>INDEX(Lookup!$A$1:$A$126,MATCH(DataYY03!C316,Lookup!$C$1:$C$126,0))</f>
        <v>Elementary School</v>
      </c>
      <c r="B316" s="225" t="s">
        <v>147</v>
      </c>
      <c r="C316" s="211" t="s">
        <v>55</v>
      </c>
      <c r="D316" s="211" t="s">
        <v>17</v>
      </c>
      <c r="E316" s="211">
        <v>98052</v>
      </c>
      <c r="F316" s="211">
        <v>43952</v>
      </c>
      <c r="G316" s="211">
        <v>341.857</v>
      </c>
      <c r="H316" s="211">
        <v>537.66</v>
      </c>
      <c r="I316" s="211">
        <v>57.276288038565816</v>
      </c>
      <c r="J316" s="211">
        <v>2157.29</v>
      </c>
      <c r="K316" s="211">
        <v>2389.99</v>
      </c>
      <c r="L316" s="211">
        <v>10.786681438285997</v>
      </c>
      <c r="M316" s="211">
        <v>0</v>
      </c>
      <c r="N316" s="211">
        <v>0</v>
      </c>
      <c r="O316" s="212">
        <v>0</v>
      </c>
    </row>
    <row r="317" spans="1:15" ht="18.75">
      <c r="A317" s="221" t="str">
        <f>INDEX(Lookup!$A$1:$A$126,MATCH(DataYY03!C317,Lookup!$C$1:$C$126,0))</f>
        <v>Middle School</v>
      </c>
      <c r="B317" s="226" t="s">
        <v>147</v>
      </c>
      <c r="C317" s="213" t="s">
        <v>56</v>
      </c>
      <c r="D317" s="213" t="s">
        <v>17</v>
      </c>
      <c r="E317" s="213">
        <v>225860</v>
      </c>
      <c r="F317" s="213">
        <v>43952</v>
      </c>
      <c r="G317" s="213">
        <v>1591.1439999999996</v>
      </c>
      <c r="H317" s="213">
        <v>1466.72</v>
      </c>
      <c r="I317" s="213">
        <v>-7.819782496115982</v>
      </c>
      <c r="J317" s="213">
        <v>10056.61</v>
      </c>
      <c r="K317" s="213">
        <v>6774.65</v>
      </c>
      <c r="L317" s="213">
        <v>-32.6348540909909</v>
      </c>
      <c r="M317" s="213">
        <v>0</v>
      </c>
      <c r="N317" s="213">
        <v>0</v>
      </c>
      <c r="O317" s="214">
        <v>0</v>
      </c>
    </row>
    <row r="318" spans="1:15" ht="18.75">
      <c r="A318" s="221" t="str">
        <f>INDEX(Lookup!$A$1:$A$126,MATCH(DataYY03!C318,Lookup!$C$1:$C$126,0))</f>
        <v>Elementary School</v>
      </c>
      <c r="B318" s="225" t="s">
        <v>147</v>
      </c>
      <c r="C318" s="211" t="s">
        <v>57</v>
      </c>
      <c r="D318" s="211" t="s">
        <v>21</v>
      </c>
      <c r="E318" s="211">
        <v>96423</v>
      </c>
      <c r="F318" s="211">
        <v>43952</v>
      </c>
      <c r="G318" s="211">
        <v>504.69999999999993</v>
      </c>
      <c r="H318" s="211">
        <v>590.19</v>
      </c>
      <c r="I318" s="211">
        <v>16.9387755102041</v>
      </c>
      <c r="J318" s="211">
        <v>3068.96</v>
      </c>
      <c r="K318" s="211">
        <v>2570.42</v>
      </c>
      <c r="L318" s="211">
        <v>-16.244591001511914</v>
      </c>
      <c r="M318" s="211">
        <v>0</v>
      </c>
      <c r="N318" s="211">
        <v>0</v>
      </c>
      <c r="O318" s="212">
        <v>0</v>
      </c>
    </row>
    <row r="319" spans="1:15" ht="18.75">
      <c r="A319" s="221" t="str">
        <f>INDEX(Lookup!$A$1:$A$126,MATCH(DataYY03!C319,Lookup!$C$1:$C$126,0))</f>
        <v>Administration</v>
      </c>
      <c r="B319" s="226" t="s">
        <v>147</v>
      </c>
      <c r="C319" s="213" t="s">
        <v>58</v>
      </c>
      <c r="D319" s="213" t="s">
        <v>17</v>
      </c>
      <c r="E319" s="213">
        <v>6832</v>
      </c>
      <c r="F319" s="213">
        <v>36526</v>
      </c>
      <c r="G319" s="213">
        <v>36.153</v>
      </c>
      <c r="H319" s="213">
        <v>13.39</v>
      </c>
      <c r="I319" s="213">
        <v>-62.962962962962955</v>
      </c>
      <c r="J319" s="213">
        <v>437.89</v>
      </c>
      <c r="K319" s="213">
        <v>322.98</v>
      </c>
      <c r="L319" s="213">
        <v>-26.241750211240266</v>
      </c>
      <c r="M319" s="213">
        <v>0</v>
      </c>
      <c r="N319" s="213">
        <v>0</v>
      </c>
      <c r="O319" s="214">
        <v>0</v>
      </c>
    </row>
    <row r="320" spans="1:15" ht="18.75">
      <c r="A320" s="221" t="str">
        <f>INDEX(Lookup!$A$1:$A$126,MATCH(DataYY03!C320,Lookup!$C$1:$C$126,0))</f>
        <v>Administration</v>
      </c>
      <c r="B320" s="225" t="s">
        <v>147</v>
      </c>
      <c r="C320" s="211" t="s">
        <v>60</v>
      </c>
      <c r="D320" s="211" t="s">
        <v>17</v>
      </c>
      <c r="E320" s="211">
        <v>26451</v>
      </c>
      <c r="F320" s="211">
        <v>36526</v>
      </c>
      <c r="G320" s="211">
        <v>238.96</v>
      </c>
      <c r="H320" s="211">
        <v>270.89</v>
      </c>
      <c r="I320" s="211">
        <v>13.362068965517242</v>
      </c>
      <c r="J320" s="211">
        <v>1564.39</v>
      </c>
      <c r="K320" s="211">
        <v>1437.88</v>
      </c>
      <c r="L320" s="211">
        <v>-8.086858136398213</v>
      </c>
      <c r="M320" s="211">
        <v>0</v>
      </c>
      <c r="N320" s="211">
        <v>0</v>
      </c>
      <c r="O320" s="212">
        <v>0</v>
      </c>
    </row>
    <row r="321" spans="1:15" ht="18.75">
      <c r="A321" s="221" t="str">
        <f>INDEX(Lookup!$A$1:$A$126,MATCH(DataYY03!C321,Lookup!$C$1:$C$126,0))</f>
        <v>Elementary School</v>
      </c>
      <c r="B321" s="226" t="s">
        <v>147</v>
      </c>
      <c r="C321" s="213" t="s">
        <v>61</v>
      </c>
      <c r="D321" s="213" t="s">
        <v>21</v>
      </c>
      <c r="E321" s="213">
        <v>96902</v>
      </c>
      <c r="F321" s="213">
        <v>43952</v>
      </c>
      <c r="G321" s="213">
        <v>322.08099999999996</v>
      </c>
      <c r="H321" s="213">
        <v>341.96</v>
      </c>
      <c r="I321" s="213">
        <v>6.172049888071651</v>
      </c>
      <c r="J321" s="213">
        <v>2058.95</v>
      </c>
      <c r="K321" s="213">
        <v>1670.67</v>
      </c>
      <c r="L321" s="213">
        <v>-18.858155856140264</v>
      </c>
      <c r="M321" s="213">
        <v>0</v>
      </c>
      <c r="N321" s="213">
        <v>0</v>
      </c>
      <c r="O321" s="214">
        <v>0</v>
      </c>
    </row>
    <row r="322" spans="1:15" ht="18.75">
      <c r="A322" s="221" t="str">
        <f>INDEX(Lookup!$A$1:$A$126,MATCH(DataYY03!C322,Lookup!$C$1:$C$126,0))</f>
        <v>Elementary School</v>
      </c>
      <c r="B322" s="225" t="s">
        <v>147</v>
      </c>
      <c r="C322" s="211" t="s">
        <v>62</v>
      </c>
      <c r="D322" s="211" t="s">
        <v>17</v>
      </c>
      <c r="E322" s="211">
        <v>77394</v>
      </c>
      <c r="F322" s="211">
        <v>43952</v>
      </c>
      <c r="G322" s="211">
        <v>410.55800000000005</v>
      </c>
      <c r="H322" s="211">
        <v>444.96</v>
      </c>
      <c r="I322" s="211">
        <v>8.379327646763665</v>
      </c>
      <c r="J322" s="211">
        <v>2397.51</v>
      </c>
      <c r="K322" s="211">
        <v>2034.14</v>
      </c>
      <c r="L322" s="211">
        <v>-15.156141163123406</v>
      </c>
      <c r="M322" s="211">
        <v>0</v>
      </c>
      <c r="N322" s="211">
        <v>0</v>
      </c>
      <c r="O322" s="212">
        <v>0</v>
      </c>
    </row>
    <row r="323" spans="1:15" ht="18.75">
      <c r="A323" s="221" t="str">
        <f>INDEX(Lookup!$A$1:$A$126,MATCH(DataYY03!C323,Lookup!$C$1:$C$126,0))</f>
        <v>Administration</v>
      </c>
      <c r="B323" s="226" t="s">
        <v>147</v>
      </c>
      <c r="C323" s="213" t="s">
        <v>63</v>
      </c>
      <c r="D323" s="213" t="s">
        <v>23</v>
      </c>
      <c r="E323" s="213">
        <v>72198</v>
      </c>
      <c r="F323" s="213">
        <v>36526</v>
      </c>
      <c r="G323" s="213">
        <v>882.9159999999999</v>
      </c>
      <c r="H323" s="213">
        <v>1105.19</v>
      </c>
      <c r="I323" s="213">
        <v>25.17498833411107</v>
      </c>
      <c r="J323" s="213">
        <v>5174.32</v>
      </c>
      <c r="K323" s="213">
        <v>4446.17</v>
      </c>
      <c r="L323" s="213">
        <v>-14.07238052536372</v>
      </c>
      <c r="M323" s="213">
        <v>0</v>
      </c>
      <c r="N323" s="213">
        <v>0</v>
      </c>
      <c r="O323" s="214">
        <v>0</v>
      </c>
    </row>
    <row r="324" spans="1:15" ht="18.75">
      <c r="A324" s="221" t="str">
        <f>INDEX(Lookup!$A$1:$A$126,MATCH(DataYY03!C324,Lookup!$C$1:$C$126,0))</f>
        <v>Administration</v>
      </c>
      <c r="B324" s="225" t="s">
        <v>147</v>
      </c>
      <c r="C324" s="211" t="s">
        <v>65</v>
      </c>
      <c r="D324" s="211" t="s">
        <v>17</v>
      </c>
      <c r="E324" s="211">
        <v>0</v>
      </c>
      <c r="F324" s="211">
        <v>36526</v>
      </c>
      <c r="G324" s="211">
        <v>322.184</v>
      </c>
      <c r="H324" s="211">
        <v>299.73</v>
      </c>
      <c r="I324" s="211">
        <v>-6.969309462915605</v>
      </c>
      <c r="J324" s="211">
        <v>2025.63</v>
      </c>
      <c r="K324" s="211">
        <v>1495.81</v>
      </c>
      <c r="L324" s="211">
        <v>-26.155813253160744</v>
      </c>
      <c r="M324" s="211">
        <v>0</v>
      </c>
      <c r="N324" s="211">
        <v>0</v>
      </c>
      <c r="O324" s="212">
        <v>0</v>
      </c>
    </row>
    <row r="325" spans="1:15" ht="18.75">
      <c r="A325" s="221" t="str">
        <f>INDEX(Lookup!$A$1:$A$126,MATCH(DataYY03!C325,Lookup!$C$1:$C$126,0))</f>
        <v>Elementary School</v>
      </c>
      <c r="B325" s="226" t="s">
        <v>147</v>
      </c>
      <c r="C325" s="213" t="s">
        <v>66</v>
      </c>
      <c r="D325" s="213" t="s">
        <v>23</v>
      </c>
      <c r="E325" s="213">
        <v>95036</v>
      </c>
      <c r="F325" s="213">
        <v>36526</v>
      </c>
      <c r="G325" s="213">
        <v>1335.91</v>
      </c>
      <c r="H325" s="213">
        <v>1035.15</v>
      </c>
      <c r="I325" s="213">
        <v>-22.51349267540478</v>
      </c>
      <c r="J325" s="213">
        <v>7695.62</v>
      </c>
      <c r="K325" s="213">
        <v>4560.06</v>
      </c>
      <c r="L325" s="213">
        <v>-40.74473531697251</v>
      </c>
      <c r="M325" s="213">
        <v>0</v>
      </c>
      <c r="N325" s="213">
        <v>0</v>
      </c>
      <c r="O325" s="214">
        <v>0</v>
      </c>
    </row>
    <row r="326" spans="1:15" ht="18.75">
      <c r="A326" s="221" t="str">
        <f>INDEX(Lookup!$A$1:$A$126,MATCH(DataYY03!C326,Lookup!$C$1:$C$126,0))</f>
        <v>Elementary School</v>
      </c>
      <c r="B326" s="225" t="s">
        <v>147</v>
      </c>
      <c r="C326" s="211" t="s">
        <v>67</v>
      </c>
      <c r="D326" s="211" t="s">
        <v>17</v>
      </c>
      <c r="E326" s="211">
        <v>91621</v>
      </c>
      <c r="F326" s="211">
        <v>36526</v>
      </c>
      <c r="G326" s="211">
        <v>323.729</v>
      </c>
      <c r="H326" s="211">
        <v>342.99</v>
      </c>
      <c r="I326" s="211">
        <v>5.949729557747382</v>
      </c>
      <c r="J326" s="211">
        <v>2082.21</v>
      </c>
      <c r="K326" s="211">
        <v>1639.16</v>
      </c>
      <c r="L326" s="211">
        <v>-21.277873029137314</v>
      </c>
      <c r="M326" s="211">
        <v>0</v>
      </c>
      <c r="N326" s="211">
        <v>0</v>
      </c>
      <c r="O326" s="212">
        <v>0</v>
      </c>
    </row>
    <row r="327" spans="1:15" ht="18.75">
      <c r="A327" s="221" t="str">
        <f>INDEX(Lookup!$A$1:$A$126,MATCH(DataYY03!C327,Lookup!$C$1:$C$126,0))</f>
        <v>Administration</v>
      </c>
      <c r="B327" s="226" t="s">
        <v>147</v>
      </c>
      <c r="C327" s="213" t="s">
        <v>68</v>
      </c>
      <c r="D327" s="213" t="s">
        <v>17</v>
      </c>
      <c r="E327" s="213">
        <v>57684</v>
      </c>
      <c r="F327" s="213">
        <v>36526</v>
      </c>
      <c r="G327" s="213">
        <v>6867.01</v>
      </c>
      <c r="H327" s="213">
        <v>14298.46</v>
      </c>
      <c r="I327" s="213">
        <v>108.21958902054898</v>
      </c>
      <c r="J327" s="213">
        <v>33435.63</v>
      </c>
      <c r="K327" s="213">
        <v>55023.75</v>
      </c>
      <c r="L327" s="213">
        <v>64.56621274969247</v>
      </c>
      <c r="M327" s="213">
        <v>0</v>
      </c>
      <c r="N327" s="213">
        <v>0</v>
      </c>
      <c r="O327" s="214">
        <v>0</v>
      </c>
    </row>
    <row r="328" spans="1:15" ht="18.75">
      <c r="A328" s="221" t="str">
        <f>INDEX(Lookup!$A$1:$A$126,MATCH(DataYY03!C328,Lookup!$C$1:$C$126,0))</f>
        <v>Administration</v>
      </c>
      <c r="B328" s="225" t="s">
        <v>147</v>
      </c>
      <c r="C328" s="211" t="s">
        <v>69</v>
      </c>
      <c r="D328" s="211" t="s">
        <v>17</v>
      </c>
      <c r="E328" s="211">
        <v>49742</v>
      </c>
      <c r="F328" s="211">
        <v>36526</v>
      </c>
      <c r="G328" s="211">
        <v>134.312</v>
      </c>
      <c r="H328" s="211">
        <v>486.16</v>
      </c>
      <c r="I328" s="211">
        <v>261.96319018404904</v>
      </c>
      <c r="J328" s="211">
        <v>761.96</v>
      </c>
      <c r="K328" s="211">
        <v>1998.99</v>
      </c>
      <c r="L328" s="211">
        <v>162.34841723975012</v>
      </c>
      <c r="M328" s="211">
        <v>0</v>
      </c>
      <c r="N328" s="211">
        <v>0</v>
      </c>
      <c r="O328" s="212">
        <v>0</v>
      </c>
    </row>
    <row r="329" spans="1:15" ht="18.75">
      <c r="A329" s="221" t="str">
        <f>INDEX(Lookup!$A$1:$A$126,MATCH(DataYY03!C329,Lookup!$C$1:$C$126,0))</f>
        <v>Elementary School</v>
      </c>
      <c r="B329" s="226" t="s">
        <v>147</v>
      </c>
      <c r="C329" s="213" t="s">
        <v>70</v>
      </c>
      <c r="D329" s="213" t="s">
        <v>17</v>
      </c>
      <c r="E329" s="213">
        <v>90518</v>
      </c>
      <c r="F329" s="213">
        <v>36526</v>
      </c>
      <c r="G329" s="213">
        <v>381.9240000000001</v>
      </c>
      <c r="H329" s="213">
        <v>467.62</v>
      </c>
      <c r="I329" s="213">
        <v>22.43797195253503</v>
      </c>
      <c r="J329" s="213">
        <v>2392.89</v>
      </c>
      <c r="K329" s="213">
        <v>2077.72</v>
      </c>
      <c r="L329" s="213">
        <v>-13.171102725156608</v>
      </c>
      <c r="M329" s="213">
        <v>0</v>
      </c>
      <c r="N329" s="213">
        <v>0</v>
      </c>
      <c r="O329" s="214">
        <v>0</v>
      </c>
    </row>
    <row r="330" spans="1:15" ht="18.75">
      <c r="A330" s="221" t="str">
        <f>INDEX(Lookup!$A$1:$A$126,MATCH(DataYY03!C330,Lookup!$C$1:$C$126,0))</f>
        <v>Elementary School</v>
      </c>
      <c r="B330" s="225" t="s">
        <v>147</v>
      </c>
      <c r="C330" s="211" t="s">
        <v>72</v>
      </c>
      <c r="D330" s="211" t="s">
        <v>17</v>
      </c>
      <c r="E330" s="211">
        <v>91424</v>
      </c>
      <c r="F330" s="211">
        <v>36526</v>
      </c>
      <c r="G330" s="211">
        <v>327.87475</v>
      </c>
      <c r="H330" s="211">
        <v>944.51</v>
      </c>
      <c r="I330" s="211">
        <v>188.07036833424957</v>
      </c>
      <c r="J330" s="211">
        <v>1916.6</v>
      </c>
      <c r="K330" s="211">
        <v>3791.89</v>
      </c>
      <c r="L330" s="211">
        <v>97.84462068245851</v>
      </c>
      <c r="M330" s="211">
        <v>0</v>
      </c>
      <c r="N330" s="211">
        <v>0</v>
      </c>
      <c r="O330" s="212">
        <v>0</v>
      </c>
    </row>
    <row r="331" spans="1:15" ht="18.75">
      <c r="A331" s="221" t="str">
        <f>INDEX(Lookup!$A$1:$A$126,MATCH(DataYY03!C331,Lookup!$C$1:$C$126,0))</f>
        <v>Middle School</v>
      </c>
      <c r="B331" s="226" t="s">
        <v>147</v>
      </c>
      <c r="C331" s="213" t="s">
        <v>73</v>
      </c>
      <c r="D331" s="213" t="s">
        <v>23</v>
      </c>
      <c r="E331" s="213">
        <v>218801</v>
      </c>
      <c r="F331" s="213">
        <v>36526</v>
      </c>
      <c r="G331" s="213">
        <v>1675.707</v>
      </c>
      <c r="H331" s="213">
        <v>2507.02</v>
      </c>
      <c r="I331" s="213">
        <v>49.609687135042094</v>
      </c>
      <c r="J331" s="213">
        <v>9800.77</v>
      </c>
      <c r="K331" s="213">
        <v>9310.5</v>
      </c>
      <c r="L331" s="213">
        <v>-5.002362059307585</v>
      </c>
      <c r="M331" s="213">
        <v>0</v>
      </c>
      <c r="N331" s="213">
        <v>0</v>
      </c>
      <c r="O331" s="214">
        <v>0</v>
      </c>
    </row>
    <row r="332" spans="1:15" ht="18.75">
      <c r="A332" s="221" t="str">
        <f>INDEX(Lookup!$A$1:$A$126,MATCH(DataYY03!C332,Lookup!$C$1:$C$126,0))</f>
        <v>Elementary School</v>
      </c>
      <c r="B332" s="225" t="s">
        <v>147</v>
      </c>
      <c r="C332" s="211" t="s">
        <v>74</v>
      </c>
      <c r="D332" s="211" t="s">
        <v>17</v>
      </c>
      <c r="E332" s="211">
        <v>85052</v>
      </c>
      <c r="F332" s="211">
        <v>36526</v>
      </c>
      <c r="G332" s="211">
        <v>240.608</v>
      </c>
      <c r="H332" s="211">
        <v>376.98</v>
      </c>
      <c r="I332" s="211">
        <v>56.678082191780824</v>
      </c>
      <c r="J332" s="211">
        <v>1626.31</v>
      </c>
      <c r="K332" s="211">
        <v>1789.21</v>
      </c>
      <c r="L332" s="211">
        <v>10.016540511956515</v>
      </c>
      <c r="M332" s="211">
        <v>0</v>
      </c>
      <c r="N332" s="211">
        <v>0</v>
      </c>
      <c r="O332" s="212">
        <v>0</v>
      </c>
    </row>
    <row r="333" spans="1:15" ht="18.75">
      <c r="A333" s="221" t="str">
        <f>INDEX(Lookup!$A$1:$A$126,MATCH(DataYY03!C333,Lookup!$C$1:$C$126,0))</f>
        <v>Elementary School</v>
      </c>
      <c r="B333" s="226" t="s">
        <v>147</v>
      </c>
      <c r="C333" s="213" t="s">
        <v>75</v>
      </c>
      <c r="D333" s="213" t="s">
        <v>23</v>
      </c>
      <c r="E333" s="213">
        <v>85650</v>
      </c>
      <c r="F333" s="213">
        <v>36526</v>
      </c>
      <c r="G333" s="213">
        <v>335.574</v>
      </c>
      <c r="H333" s="213">
        <v>407.88</v>
      </c>
      <c r="I333" s="213">
        <v>21.546961325966844</v>
      </c>
      <c r="J333" s="213">
        <v>2047.79</v>
      </c>
      <c r="K333" s="213">
        <v>1905.39</v>
      </c>
      <c r="L333" s="213">
        <v>-6.953838040033402</v>
      </c>
      <c r="M333" s="213">
        <v>0</v>
      </c>
      <c r="N333" s="213">
        <v>0</v>
      </c>
      <c r="O333" s="214">
        <v>0</v>
      </c>
    </row>
    <row r="334" spans="1:15" ht="18.75">
      <c r="A334" s="221" t="str">
        <f>INDEX(Lookup!$A$1:$A$126,MATCH(DataYY03!C334,Lookup!$C$1:$C$126,0))</f>
        <v>Middle School</v>
      </c>
      <c r="B334" s="225" t="s">
        <v>147</v>
      </c>
      <c r="C334" s="211" t="s">
        <v>76</v>
      </c>
      <c r="D334" s="211" t="s">
        <v>23</v>
      </c>
      <c r="E334" s="211">
        <v>192751</v>
      </c>
      <c r="F334" s="211">
        <v>36526</v>
      </c>
      <c r="G334" s="211">
        <v>1056.78</v>
      </c>
      <c r="H334" s="211">
        <v>1606.8</v>
      </c>
      <c r="I334" s="211">
        <v>52.046783625730995</v>
      </c>
      <c r="J334" s="211">
        <v>6112.53</v>
      </c>
      <c r="K334" s="211">
        <v>6527.97</v>
      </c>
      <c r="L334" s="211">
        <v>6.796531059970258</v>
      </c>
      <c r="M334" s="211">
        <v>0</v>
      </c>
      <c r="N334" s="211">
        <v>0</v>
      </c>
      <c r="O334" s="212">
        <v>0</v>
      </c>
    </row>
    <row r="335" spans="1:15" ht="18.75">
      <c r="A335" s="221" t="str">
        <f>INDEX(Lookup!$A$1:$A$126,MATCH(DataYY03!C335,Lookup!$C$1:$C$126,0))</f>
        <v>Elementary School</v>
      </c>
      <c r="B335" s="226" t="s">
        <v>147</v>
      </c>
      <c r="C335" s="213" t="s">
        <v>77</v>
      </c>
      <c r="D335" s="213" t="s">
        <v>17</v>
      </c>
      <c r="E335" s="213">
        <v>88795</v>
      </c>
      <c r="F335" s="213">
        <v>36526</v>
      </c>
      <c r="G335" s="213">
        <v>693.8080000000002</v>
      </c>
      <c r="H335" s="213">
        <v>921.85</v>
      </c>
      <c r="I335" s="213">
        <v>32.86817102137764</v>
      </c>
      <c r="J335" s="213">
        <v>3945.6</v>
      </c>
      <c r="K335" s="213">
        <v>3692.68</v>
      </c>
      <c r="L335" s="213">
        <v>-6.410178426601784</v>
      </c>
      <c r="M335" s="213">
        <v>0</v>
      </c>
      <c r="N335" s="213">
        <v>0</v>
      </c>
      <c r="O335" s="214">
        <v>0</v>
      </c>
    </row>
    <row r="336" spans="1:15" ht="18.75">
      <c r="A336" s="221" t="str">
        <f>INDEX(Lookup!$A$1:$A$126,MATCH(DataYY03!C336,Lookup!$C$1:$C$126,0))</f>
        <v>Elementary School</v>
      </c>
      <c r="B336" s="225" t="s">
        <v>147</v>
      </c>
      <c r="C336" s="211" t="s">
        <v>78</v>
      </c>
      <c r="D336" s="211" t="s">
        <v>21</v>
      </c>
      <c r="E336" s="211">
        <v>96483</v>
      </c>
      <c r="F336" s="211">
        <v>36526</v>
      </c>
      <c r="G336" s="211">
        <v>358.64599999999996</v>
      </c>
      <c r="H336" s="211">
        <v>715.85</v>
      </c>
      <c r="I336" s="211">
        <v>99.59793222286044</v>
      </c>
      <c r="J336" s="211">
        <v>2406.45</v>
      </c>
      <c r="K336" s="211">
        <v>2982.75</v>
      </c>
      <c r="L336" s="211">
        <v>23.948139375428536</v>
      </c>
      <c r="M336" s="211">
        <v>0</v>
      </c>
      <c r="N336" s="211">
        <v>0</v>
      </c>
      <c r="O336" s="212">
        <v>0</v>
      </c>
    </row>
    <row r="337" spans="1:15" ht="18.75">
      <c r="A337" s="221" t="str">
        <f>INDEX(Lookup!$A$1:$A$126,MATCH(DataYY03!C337,Lookup!$C$1:$C$126,0))</f>
        <v>Elementary School</v>
      </c>
      <c r="B337" s="226" t="s">
        <v>147</v>
      </c>
      <c r="C337" s="213" t="s">
        <v>79</v>
      </c>
      <c r="D337" s="213" t="s">
        <v>17</v>
      </c>
      <c r="E337" s="213">
        <v>99937</v>
      </c>
      <c r="F337" s="213">
        <v>36526</v>
      </c>
      <c r="G337" s="213">
        <v>624.4889999999999</v>
      </c>
      <c r="H337" s="213">
        <v>691.13</v>
      </c>
      <c r="I337" s="213">
        <v>10.671284842487228</v>
      </c>
      <c r="J337" s="213">
        <v>3898.57</v>
      </c>
      <c r="K337" s="213">
        <v>3156.64</v>
      </c>
      <c r="L337" s="213">
        <v>-19.03082412269114</v>
      </c>
      <c r="M337" s="213">
        <v>0</v>
      </c>
      <c r="N337" s="213">
        <v>0</v>
      </c>
      <c r="O337" s="214">
        <v>0</v>
      </c>
    </row>
    <row r="338" spans="1:15" ht="18.75">
      <c r="A338" s="221" t="str">
        <f>INDEX(Lookup!$A$1:$A$126,MATCH(DataYY03!C338,Lookup!$C$1:$C$126,0))</f>
        <v>Elementary School</v>
      </c>
      <c r="B338" s="225" t="s">
        <v>147</v>
      </c>
      <c r="C338" s="211" t="s">
        <v>80</v>
      </c>
      <c r="D338" s="211" t="s">
        <v>17</v>
      </c>
      <c r="E338" s="211">
        <v>80168</v>
      </c>
      <c r="F338" s="211">
        <v>43952</v>
      </c>
      <c r="G338" s="211">
        <v>726.4590000000001</v>
      </c>
      <c r="H338" s="211">
        <v>736.45</v>
      </c>
      <c r="I338" s="211">
        <v>1.375301290231095</v>
      </c>
      <c r="J338" s="211">
        <v>4307.24</v>
      </c>
      <c r="K338" s="211">
        <v>2940.54</v>
      </c>
      <c r="L338" s="211">
        <v>-31.7302959667908</v>
      </c>
      <c r="M338" s="211">
        <v>0</v>
      </c>
      <c r="N338" s="211">
        <v>0</v>
      </c>
      <c r="O338" s="212">
        <v>0</v>
      </c>
    </row>
    <row r="339" spans="1:15" ht="18.75">
      <c r="A339" s="221" t="str">
        <f>INDEX(Lookup!$A$1:$A$126,MATCH(DataYY03!C339,Lookup!$C$1:$C$126,0))</f>
        <v>Elementary School</v>
      </c>
      <c r="B339" s="226" t="s">
        <v>147</v>
      </c>
      <c r="C339" s="213" t="s">
        <v>81</v>
      </c>
      <c r="D339" s="213" t="s">
        <v>21</v>
      </c>
      <c r="E339" s="213">
        <v>112519</v>
      </c>
      <c r="F339" s="213">
        <v>36526</v>
      </c>
      <c r="G339" s="213">
        <v>670.4270000000001</v>
      </c>
      <c r="H339" s="213">
        <v>675.68</v>
      </c>
      <c r="I339" s="213">
        <v>0.7835304962359635</v>
      </c>
      <c r="J339" s="213">
        <v>3969.79</v>
      </c>
      <c r="K339" s="213">
        <v>2855.43</v>
      </c>
      <c r="L339" s="213">
        <v>-28.071006274891115</v>
      </c>
      <c r="M339" s="213">
        <v>0</v>
      </c>
      <c r="N339" s="213">
        <v>0</v>
      </c>
      <c r="O339" s="214">
        <v>0</v>
      </c>
    </row>
    <row r="340" spans="1:15" ht="18.75">
      <c r="A340" s="221" t="str">
        <f>INDEX(Lookup!$A$1:$A$126,MATCH(DataYY03!C340,Lookup!$C$1:$C$126,0))</f>
        <v>Middle School</v>
      </c>
      <c r="B340" s="225" t="s">
        <v>147</v>
      </c>
      <c r="C340" s="211" t="s">
        <v>82</v>
      </c>
      <c r="D340" s="211" t="s">
        <v>23</v>
      </c>
      <c r="E340" s="211">
        <v>226178</v>
      </c>
      <c r="F340" s="211">
        <v>36526</v>
      </c>
      <c r="G340" s="211">
        <v>2205.745</v>
      </c>
      <c r="H340" s="211">
        <v>2088.84</v>
      </c>
      <c r="I340" s="211">
        <v>-5.3000233481204635</v>
      </c>
      <c r="J340" s="211">
        <v>12841.66</v>
      </c>
      <c r="K340" s="211">
        <v>8692.05</v>
      </c>
      <c r="L340" s="211">
        <v>-32.31365726860858</v>
      </c>
      <c r="M340" s="211">
        <v>0</v>
      </c>
      <c r="N340" s="211">
        <v>0</v>
      </c>
      <c r="O340" s="212">
        <v>0</v>
      </c>
    </row>
    <row r="341" spans="1:15" ht="18.75">
      <c r="A341" s="221" t="str">
        <f>INDEX(Lookup!$A$1:$A$126,MATCH(DataYY03!C341,Lookup!$C$1:$C$126,0))</f>
        <v>Elementary School</v>
      </c>
      <c r="B341" s="226" t="s">
        <v>147</v>
      </c>
      <c r="C341" s="213" t="s">
        <v>83</v>
      </c>
      <c r="D341" s="213" t="s">
        <v>17</v>
      </c>
      <c r="E341" s="213">
        <v>87881</v>
      </c>
      <c r="F341" s="213">
        <v>36526</v>
      </c>
      <c r="G341" s="213">
        <v>608.4209999999999</v>
      </c>
      <c r="H341" s="213">
        <v>555.17</v>
      </c>
      <c r="I341" s="213">
        <v>-8.752327746741141</v>
      </c>
      <c r="J341" s="213">
        <v>3667.92</v>
      </c>
      <c r="K341" s="213">
        <v>2448.43</v>
      </c>
      <c r="L341" s="213">
        <v>-33.24745359767934</v>
      </c>
      <c r="M341" s="213">
        <v>0</v>
      </c>
      <c r="N341" s="213">
        <v>0</v>
      </c>
      <c r="O341" s="214">
        <v>0</v>
      </c>
    </row>
    <row r="342" spans="1:15" ht="18.75">
      <c r="A342" s="221" t="str">
        <f>INDEX(Lookup!$A$1:$A$126,MATCH(DataYY03!C342,Lookup!$C$1:$C$126,0))</f>
        <v>Administration</v>
      </c>
      <c r="B342" s="225" t="s">
        <v>147</v>
      </c>
      <c r="C342" s="211" t="s">
        <v>84</v>
      </c>
      <c r="D342" s="211" t="s">
        <v>17</v>
      </c>
      <c r="E342" s="211">
        <v>132467</v>
      </c>
      <c r="F342" s="211">
        <v>36526</v>
      </c>
      <c r="G342" s="211">
        <v>746.75</v>
      </c>
      <c r="H342" s="211">
        <v>674.65</v>
      </c>
      <c r="I342" s="211">
        <v>-9.655172413793103</v>
      </c>
      <c r="J342" s="211">
        <v>4508.12</v>
      </c>
      <c r="K342" s="211">
        <v>3056.6</v>
      </c>
      <c r="L342" s="211">
        <v>-32.19790067700061</v>
      </c>
      <c r="M342" s="211">
        <v>0</v>
      </c>
      <c r="N342" s="211">
        <v>0</v>
      </c>
      <c r="O342" s="212">
        <v>0</v>
      </c>
    </row>
    <row r="343" spans="1:15" ht="18.75">
      <c r="A343" s="221" t="str">
        <f>INDEX(Lookup!$A$1:$A$126,MATCH(DataYY03!C343,Lookup!$C$1:$C$126,0))</f>
        <v>Administration</v>
      </c>
      <c r="B343" s="226" t="s">
        <v>147</v>
      </c>
      <c r="C343" s="213" t="s">
        <v>91</v>
      </c>
      <c r="D343" s="213" t="s">
        <v>17</v>
      </c>
      <c r="E343" s="213">
        <v>35364</v>
      </c>
      <c r="F343" s="213">
        <v>36526</v>
      </c>
      <c r="G343" s="213">
        <v>273.774</v>
      </c>
      <c r="H343" s="213">
        <v>295.61</v>
      </c>
      <c r="I343" s="213">
        <v>7.975921745673433</v>
      </c>
      <c r="J343" s="213">
        <v>1753.33</v>
      </c>
      <c r="K343" s="213">
        <v>1515.34</v>
      </c>
      <c r="L343" s="213">
        <v>-13.573599949809791</v>
      </c>
      <c r="M343" s="213">
        <v>0</v>
      </c>
      <c r="N343" s="213">
        <v>0</v>
      </c>
      <c r="O343" s="214">
        <v>0</v>
      </c>
    </row>
    <row r="344" spans="1:15" ht="18.75">
      <c r="A344" s="221" t="str">
        <f>INDEX(Lookup!$A$1:$A$126,MATCH(DataYY03!C344,Lookup!$C$1:$C$126,0))</f>
        <v>High School</v>
      </c>
      <c r="B344" s="225" t="s">
        <v>147</v>
      </c>
      <c r="C344" s="211" t="s">
        <v>93</v>
      </c>
      <c r="D344" s="211" t="s">
        <v>17</v>
      </c>
      <c r="E344" s="211">
        <v>513473</v>
      </c>
      <c r="F344" s="211">
        <v>43952</v>
      </c>
      <c r="G344" s="211">
        <v>3150.77</v>
      </c>
      <c r="H344" s="211">
        <v>2921.08</v>
      </c>
      <c r="I344" s="211">
        <v>-7.289964040536123</v>
      </c>
      <c r="J344" s="211">
        <v>19583.19</v>
      </c>
      <c r="K344" s="211">
        <v>11331.12</v>
      </c>
      <c r="L344" s="211">
        <v>-42.13853820547112</v>
      </c>
      <c r="M344" s="211">
        <v>0</v>
      </c>
      <c r="N344" s="211">
        <v>0</v>
      </c>
      <c r="O344" s="212">
        <v>0</v>
      </c>
    </row>
    <row r="345" spans="1:15" ht="18.75">
      <c r="A345" s="221" t="str">
        <f>INDEX(Lookup!$A$1:$A$126,MATCH(DataYY03!C345,Lookup!$C$1:$C$126,0))</f>
        <v>Elementary School</v>
      </c>
      <c r="B345" s="226" t="s">
        <v>147</v>
      </c>
      <c r="C345" s="213" t="s">
        <v>95</v>
      </c>
      <c r="D345" s="213" t="s">
        <v>21</v>
      </c>
      <c r="E345" s="213">
        <v>73726</v>
      </c>
      <c r="F345" s="213">
        <v>36526</v>
      </c>
      <c r="G345" s="213">
        <v>279.336</v>
      </c>
      <c r="H345" s="213">
        <v>335.78</v>
      </c>
      <c r="I345" s="213">
        <v>20.206489675516213</v>
      </c>
      <c r="J345" s="213">
        <v>1814.52</v>
      </c>
      <c r="K345" s="213">
        <v>1650.74</v>
      </c>
      <c r="L345" s="213">
        <v>-9.026078522143598</v>
      </c>
      <c r="M345" s="213">
        <v>0</v>
      </c>
      <c r="N345" s="213">
        <v>0</v>
      </c>
      <c r="O345" s="214">
        <v>0</v>
      </c>
    </row>
    <row r="346" spans="1:15" ht="18.75">
      <c r="A346" s="221" t="str">
        <f>INDEX(Lookup!$A$1:$A$126,MATCH(DataYY03!C346,Lookup!$C$1:$C$126,0))</f>
        <v>Middle School</v>
      </c>
      <c r="B346" s="225" t="s">
        <v>147</v>
      </c>
      <c r="C346" s="211" t="s">
        <v>96</v>
      </c>
      <c r="D346" s="211" t="s">
        <v>17</v>
      </c>
      <c r="E346" s="211">
        <v>221601</v>
      </c>
      <c r="F346" s="211">
        <v>36526</v>
      </c>
      <c r="G346" s="211">
        <v>2689.33</v>
      </c>
      <c r="H346" s="211">
        <v>2637.83</v>
      </c>
      <c r="I346" s="211">
        <v>-1.9149751053236306</v>
      </c>
      <c r="J346" s="211">
        <v>15094.14</v>
      </c>
      <c r="K346" s="211">
        <v>10853.24</v>
      </c>
      <c r="L346" s="211">
        <v>-28.096334074018127</v>
      </c>
      <c r="M346" s="211">
        <v>0</v>
      </c>
      <c r="N346" s="211">
        <v>0</v>
      </c>
      <c r="O346" s="212">
        <v>0</v>
      </c>
    </row>
    <row r="347" spans="1:15" ht="18.75">
      <c r="A347" s="221" t="str">
        <f>INDEX(Lookup!$A$1:$A$126,MATCH(DataYY03!C347,Lookup!$C$1:$C$126,0))</f>
        <v>Elementary School</v>
      </c>
      <c r="B347" s="226" t="s">
        <v>147</v>
      </c>
      <c r="C347" s="213" t="s">
        <v>97</v>
      </c>
      <c r="D347" s="213" t="s">
        <v>23</v>
      </c>
      <c r="E347" s="213">
        <v>95518</v>
      </c>
      <c r="F347" s="213">
        <v>36526</v>
      </c>
      <c r="G347" s="213">
        <v>461.64599999999996</v>
      </c>
      <c r="H347" s="213">
        <v>551.05</v>
      </c>
      <c r="I347" s="213">
        <v>19.366354306113347</v>
      </c>
      <c r="J347" s="213">
        <v>2892.03</v>
      </c>
      <c r="K347" s="213">
        <v>2641.85</v>
      </c>
      <c r="L347" s="213">
        <v>-8.6506709819746</v>
      </c>
      <c r="M347" s="213">
        <v>0</v>
      </c>
      <c r="N347" s="213">
        <v>0</v>
      </c>
      <c r="O347" s="214">
        <v>0</v>
      </c>
    </row>
    <row r="348" spans="1:15" ht="18.75">
      <c r="A348" s="221" t="str">
        <f>INDEX(Lookup!$A$1:$A$126,MATCH(DataYY03!C348,Lookup!$C$1:$C$126,0))</f>
        <v>Elementary School</v>
      </c>
      <c r="B348" s="225" t="s">
        <v>147</v>
      </c>
      <c r="C348" s="211" t="s">
        <v>98</v>
      </c>
      <c r="D348" s="211" t="s">
        <v>17</v>
      </c>
      <c r="E348" s="211">
        <v>93897</v>
      </c>
      <c r="F348" s="211">
        <v>36526</v>
      </c>
      <c r="G348" s="211">
        <v>598.5330000000001</v>
      </c>
      <c r="H348" s="211">
        <v>596.37</v>
      </c>
      <c r="I348" s="211">
        <v>-0.3613835828601099</v>
      </c>
      <c r="J348" s="211">
        <v>3609.28</v>
      </c>
      <c r="K348" s="211">
        <v>2742.09</v>
      </c>
      <c r="L348" s="211">
        <v>-24.026675680468124</v>
      </c>
      <c r="M348" s="211">
        <v>0</v>
      </c>
      <c r="N348" s="211">
        <v>0</v>
      </c>
      <c r="O348" s="212">
        <v>0</v>
      </c>
    </row>
    <row r="349" spans="1:15" ht="18.75">
      <c r="A349" s="221" t="str">
        <f>INDEX(Lookup!$A$1:$A$126,MATCH(DataYY03!C349,Lookup!$C$1:$C$126,0))</f>
        <v>Middle School</v>
      </c>
      <c r="B349" s="226" t="s">
        <v>147</v>
      </c>
      <c r="C349" s="213" t="s">
        <v>99</v>
      </c>
      <c r="D349" s="213" t="s">
        <v>17</v>
      </c>
      <c r="E349" s="213">
        <v>190510</v>
      </c>
      <c r="F349" s="213">
        <v>43952</v>
      </c>
      <c r="G349" s="213">
        <v>1037.004</v>
      </c>
      <c r="H349" s="213">
        <v>1414.19</v>
      </c>
      <c r="I349" s="213">
        <v>36.37266587206993</v>
      </c>
      <c r="J349" s="213">
        <v>6142.07</v>
      </c>
      <c r="K349" s="213">
        <v>5648.44</v>
      </c>
      <c r="L349" s="213">
        <v>-8.036867049707997</v>
      </c>
      <c r="M349" s="213">
        <v>0</v>
      </c>
      <c r="N349" s="213">
        <v>0</v>
      </c>
      <c r="O349" s="214">
        <v>0</v>
      </c>
    </row>
    <row r="350" spans="1:15" ht="18.75">
      <c r="A350" s="221" t="str">
        <f>INDEX(Lookup!$A$1:$A$126,MATCH(DataYY03!C350,Lookup!$C$1:$C$126,0))</f>
        <v>Elementary School</v>
      </c>
      <c r="B350" s="225" t="s">
        <v>147</v>
      </c>
      <c r="C350" s="211" t="s">
        <v>100</v>
      </c>
      <c r="D350" s="211" t="s">
        <v>23</v>
      </c>
      <c r="E350" s="211">
        <v>113622</v>
      </c>
      <c r="F350" s="211">
        <v>43956</v>
      </c>
      <c r="G350" s="211">
        <v>766.32</v>
      </c>
      <c r="H350" s="211">
        <v>663.32</v>
      </c>
      <c r="I350" s="211">
        <v>-13.440860215053762</v>
      </c>
      <c r="J350" s="211">
        <v>2944.18</v>
      </c>
      <c r="K350" s="211">
        <v>2821.78</v>
      </c>
      <c r="L350" s="211">
        <v>-4.157354509574822</v>
      </c>
      <c r="M350" s="211">
        <v>0</v>
      </c>
      <c r="N350" s="211">
        <v>0</v>
      </c>
      <c r="O350" s="212">
        <v>0</v>
      </c>
    </row>
    <row r="351" spans="1:15" ht="18.75">
      <c r="A351" s="221" t="str">
        <f>INDEX(Lookup!$A$1:$A$126,MATCH(DataYY03!C351,Lookup!$C$1:$C$126,0))</f>
        <v>High School</v>
      </c>
      <c r="B351" s="226" t="s">
        <v>147</v>
      </c>
      <c r="C351" s="213" t="s">
        <v>101</v>
      </c>
      <c r="D351" s="213" t="s">
        <v>17</v>
      </c>
      <c r="E351" s="213">
        <v>535686</v>
      </c>
      <c r="F351" s="213">
        <v>36526</v>
      </c>
      <c r="G351" s="213">
        <v>3301.15</v>
      </c>
      <c r="H351" s="213">
        <v>3979.92</v>
      </c>
      <c r="I351" s="213">
        <v>20.561622464898598</v>
      </c>
      <c r="J351" s="213">
        <v>21122.17</v>
      </c>
      <c r="K351" s="213">
        <v>14200.82</v>
      </c>
      <c r="L351" s="213">
        <v>-32.76817675456641</v>
      </c>
      <c r="M351" s="213">
        <v>0</v>
      </c>
      <c r="N351" s="213">
        <v>0</v>
      </c>
      <c r="O351" s="214">
        <v>0</v>
      </c>
    </row>
    <row r="352" spans="1:15" ht="18.75">
      <c r="A352" s="221" t="str">
        <f>INDEX(Lookup!$A$1:$A$126,MATCH(DataYY03!C352,Lookup!$C$1:$C$126,0))</f>
        <v>Administration</v>
      </c>
      <c r="B352" s="225" t="s">
        <v>147</v>
      </c>
      <c r="C352" s="211" t="s">
        <v>102</v>
      </c>
      <c r="D352" s="211" t="s">
        <v>17</v>
      </c>
      <c r="E352" s="211">
        <v>0</v>
      </c>
      <c r="F352" s="211">
        <v>36526</v>
      </c>
      <c r="G352" s="211">
        <v>24.617000000000004</v>
      </c>
      <c r="H352" s="211">
        <v>29.87</v>
      </c>
      <c r="I352" s="211">
        <v>21.3389121338912</v>
      </c>
      <c r="J352" s="211">
        <v>374.37</v>
      </c>
      <c r="K352" s="211">
        <v>367.33</v>
      </c>
      <c r="L352" s="211">
        <v>-1.880492560835537</v>
      </c>
      <c r="M352" s="211">
        <v>0</v>
      </c>
      <c r="N352" s="211">
        <v>0</v>
      </c>
      <c r="O352" s="212">
        <v>0</v>
      </c>
    </row>
    <row r="353" spans="1:15" ht="18.75">
      <c r="A353" s="221" t="str">
        <f>INDEX(Lookup!$A$1:$A$126,MATCH(DataYY03!C353,Lookup!$C$1:$C$126,0))</f>
        <v>Elementary School</v>
      </c>
      <c r="B353" s="226" t="s">
        <v>147</v>
      </c>
      <c r="C353" s="213" t="s">
        <v>103</v>
      </c>
      <c r="D353" s="213" t="s">
        <v>17</v>
      </c>
      <c r="E353" s="213">
        <v>95352</v>
      </c>
      <c r="F353" s="213">
        <v>36526</v>
      </c>
      <c r="G353" s="213">
        <v>974.895</v>
      </c>
      <c r="H353" s="213">
        <v>1220.55</v>
      </c>
      <c r="I353" s="213">
        <v>25.19809825673534</v>
      </c>
      <c r="J353" s="213">
        <v>5602.59</v>
      </c>
      <c r="K353" s="213">
        <v>5030.32</v>
      </c>
      <c r="L353" s="213">
        <v>-10.214382990723934</v>
      </c>
      <c r="M353" s="213">
        <v>0</v>
      </c>
      <c r="N353" s="213">
        <v>0</v>
      </c>
      <c r="O353" s="214">
        <v>0</v>
      </c>
    </row>
    <row r="354" spans="1:15" ht="18.75">
      <c r="A354" s="221" t="str">
        <f>INDEX(Lookup!$A$1:$A$126,MATCH(DataYY03!C354,Lookup!$C$1:$C$126,0))</f>
        <v>Elementary School</v>
      </c>
      <c r="B354" s="225" t="s">
        <v>147</v>
      </c>
      <c r="C354" s="211" t="s">
        <v>104</v>
      </c>
      <c r="D354" s="211" t="s">
        <v>17</v>
      </c>
      <c r="E354" s="211">
        <v>88406</v>
      </c>
      <c r="F354" s="211">
        <v>36526</v>
      </c>
      <c r="G354" s="211">
        <v>564.5430000000001</v>
      </c>
      <c r="H354" s="211">
        <v>733.36</v>
      </c>
      <c r="I354" s="211">
        <v>29.9033023170954</v>
      </c>
      <c r="J354" s="211">
        <v>3404.15</v>
      </c>
      <c r="K354" s="211">
        <v>3228.37</v>
      </c>
      <c r="L354" s="211">
        <v>-5.16369725188373</v>
      </c>
      <c r="M354" s="211">
        <v>0</v>
      </c>
      <c r="N354" s="211">
        <v>0</v>
      </c>
      <c r="O354" s="212">
        <v>0</v>
      </c>
    </row>
    <row r="355" spans="1:15" ht="18.75">
      <c r="A355" s="221" t="str">
        <f>INDEX(Lookup!$A$1:$A$126,MATCH(DataYY03!C355,Lookup!$C$1:$C$126,0))</f>
        <v>Elementary School</v>
      </c>
      <c r="B355" s="226" t="s">
        <v>147</v>
      </c>
      <c r="C355" s="213" t="s">
        <v>105</v>
      </c>
      <c r="D355" s="213" t="s">
        <v>17</v>
      </c>
      <c r="E355" s="213">
        <v>78614</v>
      </c>
      <c r="F355" s="213">
        <v>43956</v>
      </c>
      <c r="G355" s="213">
        <v>0.618</v>
      </c>
      <c r="H355" s="213">
        <v>1.03</v>
      </c>
      <c r="I355" s="213">
        <v>66.66666666666667</v>
      </c>
      <c r="J355" s="213">
        <v>232.55</v>
      </c>
      <c r="K355" s="213">
        <v>278.03</v>
      </c>
      <c r="L355" s="213">
        <v>19.55708449795743</v>
      </c>
      <c r="M355" s="213">
        <v>0</v>
      </c>
      <c r="N355" s="213">
        <v>0</v>
      </c>
      <c r="O355" s="214">
        <v>0</v>
      </c>
    </row>
    <row r="356" spans="1:15" ht="18.75">
      <c r="A356" s="221" t="str">
        <f>INDEX(Lookup!$A$1:$A$126,MATCH(DataYY03!C356,Lookup!$C$1:$C$126,0))</f>
        <v>Administration</v>
      </c>
      <c r="B356" s="225" t="s">
        <v>147</v>
      </c>
      <c r="C356" s="211" t="s">
        <v>106</v>
      </c>
      <c r="D356" s="211" t="s">
        <v>17</v>
      </c>
      <c r="E356" s="211">
        <v>36679</v>
      </c>
      <c r="F356" s="211">
        <v>43952</v>
      </c>
      <c r="G356" s="211">
        <v>428.17100000000005</v>
      </c>
      <c r="H356" s="211">
        <v>361.53</v>
      </c>
      <c r="I356" s="211">
        <v>-15.564108732258854</v>
      </c>
      <c r="J356" s="211">
        <v>2638.13</v>
      </c>
      <c r="K356" s="211">
        <v>1804.86</v>
      </c>
      <c r="L356" s="211">
        <v>-31.5856307308586</v>
      </c>
      <c r="M356" s="211">
        <v>0</v>
      </c>
      <c r="N356" s="211">
        <v>0</v>
      </c>
      <c r="O356" s="212">
        <v>0</v>
      </c>
    </row>
    <row r="357" spans="1:15" ht="18.75">
      <c r="A357" s="221" t="str">
        <f>INDEX(Lookup!$A$1:$A$126,MATCH(DataYY03!C357,Lookup!$C$1:$C$126,0))</f>
        <v>Elementary School</v>
      </c>
      <c r="B357" s="226" t="s">
        <v>147</v>
      </c>
      <c r="C357" s="213" t="s">
        <v>107</v>
      </c>
      <c r="D357" s="213" t="s">
        <v>17</v>
      </c>
      <c r="E357" s="213">
        <v>124682</v>
      </c>
      <c r="F357" s="213">
        <v>36526</v>
      </c>
      <c r="G357" s="213">
        <v>1820.3190000000002</v>
      </c>
      <c r="H357" s="213">
        <v>955.84</v>
      </c>
      <c r="I357" s="213">
        <v>-47.490522265602905</v>
      </c>
      <c r="J357" s="213">
        <v>11802.27</v>
      </c>
      <c r="K357" s="213">
        <v>3938.02</v>
      </c>
      <c r="L357" s="213">
        <v>-66.63336798768373</v>
      </c>
      <c r="M357" s="213">
        <v>0</v>
      </c>
      <c r="N357" s="213">
        <v>0</v>
      </c>
      <c r="O357" s="214">
        <v>0</v>
      </c>
    </row>
    <row r="358" spans="1:15" ht="18.75">
      <c r="A358" s="221" t="str">
        <f>INDEX(Lookup!$A$1:$A$126,MATCH(DataYY03!C358,Lookup!$C$1:$C$126,0))</f>
        <v>Elementary School</v>
      </c>
      <c r="B358" s="225" t="s">
        <v>147</v>
      </c>
      <c r="C358" s="211" t="s">
        <v>108</v>
      </c>
      <c r="D358" s="211" t="s">
        <v>21</v>
      </c>
      <c r="E358" s="211">
        <v>107075</v>
      </c>
      <c r="F358" s="211">
        <v>36526</v>
      </c>
      <c r="G358" s="211">
        <v>904.237</v>
      </c>
      <c r="H358" s="211">
        <v>910.52</v>
      </c>
      <c r="I358" s="211">
        <v>0.6948399589930548</v>
      </c>
      <c r="J358" s="211">
        <v>5178.14</v>
      </c>
      <c r="K358" s="211">
        <v>3890.47</v>
      </c>
      <c r="L358" s="211">
        <v>-24.867423437759502</v>
      </c>
      <c r="M358" s="211">
        <v>0</v>
      </c>
      <c r="N358" s="211">
        <v>0</v>
      </c>
      <c r="O358" s="212">
        <v>0</v>
      </c>
    </row>
    <row r="359" spans="1:15" ht="18.75">
      <c r="A359" s="221" t="str">
        <f>INDEX(Lookup!$A$1:$A$126,MATCH(DataYY03!C359,Lookup!$C$1:$C$126,0))</f>
        <v>Elementary School</v>
      </c>
      <c r="B359" s="226" t="s">
        <v>147</v>
      </c>
      <c r="C359" s="213" t="s">
        <v>109</v>
      </c>
      <c r="D359" s="213" t="s">
        <v>17</v>
      </c>
      <c r="E359" s="213">
        <v>85120</v>
      </c>
      <c r="F359" s="213">
        <v>43956</v>
      </c>
      <c r="G359" s="213">
        <v>369.35799999999995</v>
      </c>
      <c r="H359" s="213">
        <v>273.98</v>
      </c>
      <c r="I359" s="213">
        <v>-25.822643614054645</v>
      </c>
      <c r="J359" s="213">
        <v>2203.92</v>
      </c>
      <c r="K359" s="213">
        <v>1415.12</v>
      </c>
      <c r="L359" s="213">
        <v>-35.790772804820506</v>
      </c>
      <c r="M359" s="213">
        <v>0</v>
      </c>
      <c r="N359" s="213">
        <v>0</v>
      </c>
      <c r="O359" s="214">
        <v>0</v>
      </c>
    </row>
    <row r="360" spans="1:15" ht="18.75">
      <c r="A360" s="221" t="str">
        <f>INDEX(Lookup!$A$1:$A$126,MATCH(DataYY03!C360,Lookup!$C$1:$C$126,0))</f>
        <v>Elementary School</v>
      </c>
      <c r="B360" s="225" t="s">
        <v>147</v>
      </c>
      <c r="C360" s="211" t="s">
        <v>110</v>
      </c>
      <c r="D360" s="211" t="s">
        <v>23</v>
      </c>
      <c r="E360" s="211">
        <v>74252</v>
      </c>
      <c r="F360" s="211">
        <v>36526</v>
      </c>
      <c r="G360" s="211">
        <v>566.9119999999999</v>
      </c>
      <c r="H360" s="211">
        <v>529.42</v>
      </c>
      <c r="I360" s="211">
        <v>-6.6133720930232505</v>
      </c>
      <c r="J360" s="211">
        <v>3450.02</v>
      </c>
      <c r="K360" s="211">
        <v>2347.11</v>
      </c>
      <c r="L360" s="211">
        <v>-31.96822047408421</v>
      </c>
      <c r="M360" s="211">
        <v>0</v>
      </c>
      <c r="N360" s="211">
        <v>0</v>
      </c>
      <c r="O360" s="212">
        <v>0</v>
      </c>
    </row>
    <row r="361" spans="1:15" ht="18.75">
      <c r="A361" s="221" t="str">
        <f>INDEX(Lookup!$A$1:$A$126,MATCH(DataYY03!C361,Lookup!$C$1:$C$126,0))</f>
        <v>Elementary School</v>
      </c>
      <c r="B361" s="226" t="s">
        <v>147</v>
      </c>
      <c r="C361" s="213" t="s">
        <v>113</v>
      </c>
      <c r="D361" s="213" t="s">
        <v>17</v>
      </c>
      <c r="E361" s="213">
        <v>83063</v>
      </c>
      <c r="F361" s="213">
        <v>43952</v>
      </c>
      <c r="G361" s="213">
        <v>154.39700000000002</v>
      </c>
      <c r="H361" s="213">
        <v>520.15</v>
      </c>
      <c r="I361" s="213">
        <v>236.89126084056036</v>
      </c>
      <c r="J361" s="213">
        <v>1048.28</v>
      </c>
      <c r="K361" s="213">
        <v>2245.42</v>
      </c>
      <c r="L361" s="213">
        <v>114.20040447208761</v>
      </c>
      <c r="M361" s="213">
        <v>0</v>
      </c>
      <c r="N361" s="213">
        <v>0</v>
      </c>
      <c r="O361" s="214">
        <v>0</v>
      </c>
    </row>
    <row r="362" spans="1:15" ht="18.75">
      <c r="A362" s="221" t="str">
        <f>INDEX(Lookup!$A$1:$A$126,MATCH(DataYY03!C362,Lookup!$C$1:$C$126,0))</f>
        <v>Elementary School</v>
      </c>
      <c r="B362" s="225" t="s">
        <v>147</v>
      </c>
      <c r="C362" s="211" t="s">
        <v>114</v>
      </c>
      <c r="D362" s="211" t="s">
        <v>17</v>
      </c>
      <c r="E362" s="211">
        <v>85590</v>
      </c>
      <c r="F362" s="211">
        <v>43952</v>
      </c>
      <c r="G362" s="211">
        <v>448.87399999999997</v>
      </c>
      <c r="H362" s="211">
        <v>728.21</v>
      </c>
      <c r="I362" s="211">
        <v>62.23038090867372</v>
      </c>
      <c r="J362" s="211">
        <v>2592.71</v>
      </c>
      <c r="K362" s="211">
        <v>2992.93</v>
      </c>
      <c r="L362" s="211">
        <v>15.436358096354779</v>
      </c>
      <c r="M362" s="211">
        <v>0</v>
      </c>
      <c r="N362" s="211">
        <v>0</v>
      </c>
      <c r="O362" s="212">
        <v>0</v>
      </c>
    </row>
    <row r="363" spans="1:15" ht="18.75">
      <c r="A363" s="221" t="str">
        <f>INDEX(Lookup!$A$1:$A$126,MATCH(DataYY03!C363,Lookup!$C$1:$C$126,0))</f>
        <v>Elementary School</v>
      </c>
      <c r="B363" s="226" t="s">
        <v>147</v>
      </c>
      <c r="C363" s="213" t="s">
        <v>115</v>
      </c>
      <c r="D363" s="213" t="s">
        <v>23</v>
      </c>
      <c r="E363" s="213">
        <v>112970</v>
      </c>
      <c r="F363" s="213">
        <v>36526</v>
      </c>
      <c r="G363" s="213">
        <v>504.082</v>
      </c>
      <c r="H363" s="213">
        <v>603.58</v>
      </c>
      <c r="I363" s="213">
        <v>19.738455251328165</v>
      </c>
      <c r="J363" s="213">
        <v>3049.67</v>
      </c>
      <c r="K363" s="213">
        <v>2610.58</v>
      </c>
      <c r="L363" s="213">
        <v>-14.397951253742209</v>
      </c>
      <c r="M363" s="213">
        <v>0</v>
      </c>
      <c r="N363" s="213">
        <v>0</v>
      </c>
      <c r="O363" s="214">
        <v>0</v>
      </c>
    </row>
    <row r="364" spans="1:15" ht="18.75">
      <c r="A364" s="221" t="str">
        <f>INDEX(Lookup!$A$1:$A$126,MATCH(DataYY03!C364,Lookup!$C$1:$C$126,0))</f>
        <v>Elementary School</v>
      </c>
      <c r="B364" s="225" t="s">
        <v>147</v>
      </c>
      <c r="C364" s="211" t="s">
        <v>116</v>
      </c>
      <c r="D364" s="211" t="s">
        <v>17</v>
      </c>
      <c r="E364" s="211">
        <v>104852</v>
      </c>
      <c r="F364" s="211">
        <v>36526</v>
      </c>
      <c r="G364" s="211">
        <v>620.884</v>
      </c>
      <c r="H364" s="211">
        <v>625.21</v>
      </c>
      <c r="I364" s="211">
        <v>0.6967485069674827</v>
      </c>
      <c r="J364" s="211">
        <v>3971</v>
      </c>
      <c r="K364" s="211">
        <v>2823.28</v>
      </c>
      <c r="L364" s="211">
        <v>-28.902543439939564</v>
      </c>
      <c r="M364" s="211">
        <v>0</v>
      </c>
      <c r="N364" s="211">
        <v>0</v>
      </c>
      <c r="O364" s="212">
        <v>0</v>
      </c>
    </row>
    <row r="365" spans="1:15" ht="18.75">
      <c r="A365" s="221" t="str">
        <f>INDEX(Lookup!$A$1:$A$126,MATCH(DataYY03!C365,Lookup!$C$1:$C$126,0))</f>
        <v>Elementary School</v>
      </c>
      <c r="B365" s="226" t="s">
        <v>147</v>
      </c>
      <c r="C365" s="213" t="s">
        <v>117</v>
      </c>
      <c r="D365" s="213" t="s">
        <v>23</v>
      </c>
      <c r="E365" s="213">
        <v>100456</v>
      </c>
      <c r="F365" s="213">
        <v>36526</v>
      </c>
      <c r="G365" s="213">
        <v>448.153</v>
      </c>
      <c r="H365" s="213">
        <v>632.42</v>
      </c>
      <c r="I365" s="213">
        <v>41.116984601241086</v>
      </c>
      <c r="J365" s="213">
        <v>2703.1</v>
      </c>
      <c r="K365" s="213">
        <v>2714.38</v>
      </c>
      <c r="L365" s="213">
        <v>0.41729865709740666</v>
      </c>
      <c r="M365" s="213">
        <v>0</v>
      </c>
      <c r="N365" s="213">
        <v>0</v>
      </c>
      <c r="O365" s="214">
        <v>0</v>
      </c>
    </row>
    <row r="366" spans="1:15" ht="18.75">
      <c r="A366" s="221" t="str">
        <f>INDEX(Lookup!$A$1:$A$126,MATCH(DataYY03!C366,Lookup!$C$1:$C$126,0))</f>
        <v>Administration</v>
      </c>
      <c r="B366" s="225" t="s">
        <v>147</v>
      </c>
      <c r="C366" s="211" t="s">
        <v>118</v>
      </c>
      <c r="D366" s="211" t="s">
        <v>17</v>
      </c>
      <c r="E366" s="211">
        <v>86181</v>
      </c>
      <c r="F366" s="211">
        <v>36526</v>
      </c>
      <c r="G366" s="211">
        <v>56.958999999999996</v>
      </c>
      <c r="H366" s="211">
        <v>61.8</v>
      </c>
      <c r="I366" s="211">
        <v>8.499095840868</v>
      </c>
      <c r="J366" s="211">
        <v>535.91</v>
      </c>
      <c r="K366" s="211">
        <v>494.68</v>
      </c>
      <c r="L366" s="211">
        <v>-7.693455990744715</v>
      </c>
      <c r="M366" s="211">
        <v>0</v>
      </c>
      <c r="N366" s="211">
        <v>0</v>
      </c>
      <c r="O366" s="212">
        <v>0</v>
      </c>
    </row>
    <row r="367" spans="1:15" ht="18.75">
      <c r="A367" s="221" t="str">
        <f>INDEX(Lookup!$A$1:$A$126,MATCH(DataYY03!C367,Lookup!$C$1:$C$126,0))</f>
        <v>Elementary School</v>
      </c>
      <c r="B367" s="226" t="s">
        <v>147</v>
      </c>
      <c r="C367" s="213" t="s">
        <v>120</v>
      </c>
      <c r="D367" s="213" t="s">
        <v>17</v>
      </c>
      <c r="E367" s="213">
        <v>90012</v>
      </c>
      <c r="F367" s="213">
        <v>36526</v>
      </c>
      <c r="G367" s="213">
        <v>419.519</v>
      </c>
      <c r="H367" s="213">
        <v>329.6</v>
      </c>
      <c r="I367" s="213">
        <v>-21.433832555855638</v>
      </c>
      <c r="J367" s="213">
        <v>2531.26</v>
      </c>
      <c r="K367" s="213">
        <v>1672.61</v>
      </c>
      <c r="L367" s="213">
        <v>-33.92184129642945</v>
      </c>
      <c r="M367" s="213">
        <v>0</v>
      </c>
      <c r="N367" s="213">
        <v>0</v>
      </c>
      <c r="O367" s="214">
        <v>0</v>
      </c>
    </row>
    <row r="368" spans="1:15" ht="18.75">
      <c r="A368" s="221" t="str">
        <f>INDEX(Lookup!$A$1:$A$126,MATCH(DataYY03!C368,Lookup!$C$1:$C$126,0))</f>
        <v>Elementary School</v>
      </c>
      <c r="B368" s="225" t="s">
        <v>147</v>
      </c>
      <c r="C368" s="211" t="s">
        <v>121</v>
      </c>
      <c r="D368" s="211" t="s">
        <v>23</v>
      </c>
      <c r="E368" s="211">
        <v>110549</v>
      </c>
      <c r="F368" s="211">
        <v>36526</v>
      </c>
      <c r="G368" s="211">
        <v>621.5019999999998</v>
      </c>
      <c r="H368" s="211">
        <v>599.46</v>
      </c>
      <c r="I368" s="211">
        <v>-3.5465694398408742</v>
      </c>
      <c r="J368" s="211">
        <v>3746.32</v>
      </c>
      <c r="K368" s="211">
        <v>2572.26</v>
      </c>
      <c r="L368" s="211">
        <v>-31.33902069230605</v>
      </c>
      <c r="M368" s="211">
        <v>0</v>
      </c>
      <c r="N368" s="211">
        <v>0</v>
      </c>
      <c r="O368" s="212">
        <v>0</v>
      </c>
    </row>
    <row r="369" spans="1:15" ht="18.75">
      <c r="A369" s="221" t="str">
        <f>INDEX(Lookup!$A$1:$A$126,MATCH(DataYY03!C369,Lookup!$C$1:$C$126,0))</f>
        <v>Elementary School</v>
      </c>
      <c r="B369" s="226" t="s">
        <v>147</v>
      </c>
      <c r="C369" s="213" t="s">
        <v>122</v>
      </c>
      <c r="D369" s="213" t="s">
        <v>21</v>
      </c>
      <c r="E369" s="213">
        <v>98532</v>
      </c>
      <c r="F369" s="213">
        <v>43956</v>
      </c>
      <c r="G369" s="213">
        <v>317.24</v>
      </c>
      <c r="H369" s="213">
        <v>349.17</v>
      </c>
      <c r="I369" s="213">
        <v>10.064935064935066</v>
      </c>
      <c r="J369" s="213">
        <v>2026.91</v>
      </c>
      <c r="K369" s="213">
        <v>1714.2</v>
      </c>
      <c r="L369" s="213">
        <v>-15.42791737176293</v>
      </c>
      <c r="M369" s="213">
        <v>0</v>
      </c>
      <c r="N369" s="213">
        <v>0</v>
      </c>
      <c r="O369" s="214">
        <v>0</v>
      </c>
    </row>
    <row r="370" spans="1:15" ht="18.75">
      <c r="A370" s="221" t="str">
        <f>INDEX(Lookup!$A$1:$A$126,MATCH(DataYY03!C370,Lookup!$C$1:$C$126,0))</f>
        <v>Elementary School</v>
      </c>
      <c r="B370" s="225" t="s">
        <v>147</v>
      </c>
      <c r="C370" s="211" t="s">
        <v>123</v>
      </c>
      <c r="D370" s="211" t="s">
        <v>23</v>
      </c>
      <c r="E370" s="211">
        <v>93882</v>
      </c>
      <c r="F370" s="211">
        <v>43952</v>
      </c>
      <c r="G370" s="211">
        <v>546.312</v>
      </c>
      <c r="H370" s="211">
        <v>471.74</v>
      </c>
      <c r="I370" s="211">
        <v>-13.650075414781304</v>
      </c>
      <c r="J370" s="211">
        <v>3337.9</v>
      </c>
      <c r="K370" s="211">
        <v>2143.96</v>
      </c>
      <c r="L370" s="211">
        <v>-35.76919620120435</v>
      </c>
      <c r="M370" s="211">
        <v>0</v>
      </c>
      <c r="N370" s="211">
        <v>0</v>
      </c>
      <c r="O370" s="212">
        <v>0</v>
      </c>
    </row>
    <row r="371" spans="1:15" ht="18.75">
      <c r="A371" s="221" t="str">
        <f>INDEX(Lookup!$A$1:$A$126,MATCH(DataYY03!C371,Lookup!$C$1:$C$126,0))</f>
        <v>Middle School</v>
      </c>
      <c r="B371" s="226" t="s">
        <v>147</v>
      </c>
      <c r="C371" s="213" t="s">
        <v>124</v>
      </c>
      <c r="D371" s="213" t="s">
        <v>23</v>
      </c>
      <c r="E371" s="213">
        <v>242116</v>
      </c>
      <c r="F371" s="213">
        <v>43952</v>
      </c>
      <c r="G371" s="213">
        <v>996.01</v>
      </c>
      <c r="H371" s="213">
        <v>971.29</v>
      </c>
      <c r="I371" s="213">
        <v>-2.481902792140641</v>
      </c>
      <c r="J371" s="213">
        <v>5964.79</v>
      </c>
      <c r="K371" s="213">
        <v>4266.89</v>
      </c>
      <c r="L371" s="213">
        <v>-28.465377657889043</v>
      </c>
      <c r="M371" s="213">
        <v>0</v>
      </c>
      <c r="N371" s="213">
        <v>0</v>
      </c>
      <c r="O371" s="214">
        <v>0</v>
      </c>
    </row>
    <row r="372" spans="1:15" ht="18.75">
      <c r="A372" s="221" t="str">
        <f>INDEX(Lookup!$A$1:$A$126,MATCH(DataYY03!C372,Lookup!$C$1:$C$126,0))</f>
        <v>Elementary School</v>
      </c>
      <c r="B372" s="225" t="s">
        <v>147</v>
      </c>
      <c r="C372" s="211" t="s">
        <v>125</v>
      </c>
      <c r="D372" s="211" t="s">
        <v>23</v>
      </c>
      <c r="E372" s="211">
        <v>96096</v>
      </c>
      <c r="F372" s="211">
        <v>36526</v>
      </c>
      <c r="G372" s="211">
        <v>417.15</v>
      </c>
      <c r="H372" s="211">
        <v>447.02</v>
      </c>
      <c r="I372" s="211">
        <v>7.1604938271604945</v>
      </c>
      <c r="J372" s="211">
        <v>2648.22</v>
      </c>
      <c r="K372" s="211">
        <v>2068.83</v>
      </c>
      <c r="L372" s="211">
        <v>-21.87846931146204</v>
      </c>
      <c r="M372" s="211">
        <v>0</v>
      </c>
      <c r="N372" s="211">
        <v>0</v>
      </c>
      <c r="O372" s="212">
        <v>0</v>
      </c>
    </row>
    <row r="373" spans="1:15" ht="18.75">
      <c r="A373" s="221" t="str">
        <f>INDEX(Lookup!$A$1:$A$126,MATCH(DataYY03!C373,Lookup!$C$1:$C$126,0))</f>
        <v>Administration</v>
      </c>
      <c r="B373" s="226" t="s">
        <v>147</v>
      </c>
      <c r="C373" s="213" t="s">
        <v>126</v>
      </c>
      <c r="D373" s="213" t="s">
        <v>23</v>
      </c>
      <c r="E373" s="213">
        <v>22020</v>
      </c>
      <c r="F373" s="213">
        <v>36526</v>
      </c>
      <c r="G373" s="213">
        <v>30.9</v>
      </c>
      <c r="H373" s="213">
        <v>53.56</v>
      </c>
      <c r="I373" s="213">
        <v>73.33333333333333</v>
      </c>
      <c r="J373" s="213">
        <v>422.14</v>
      </c>
      <c r="K373" s="213">
        <v>450.7</v>
      </c>
      <c r="L373" s="213">
        <v>6.765528023878334</v>
      </c>
      <c r="M373" s="213">
        <v>0</v>
      </c>
      <c r="N373" s="213">
        <v>0</v>
      </c>
      <c r="O373" s="214">
        <v>0</v>
      </c>
    </row>
    <row r="374" spans="1:15" ht="18.75">
      <c r="A374" s="221" t="str">
        <f>INDEX(Lookup!$A$1:$A$126,MATCH(DataYY03!C374,Lookup!$C$1:$C$126,0))</f>
        <v>Elementary School</v>
      </c>
      <c r="B374" s="225" t="s">
        <v>147</v>
      </c>
      <c r="C374" s="211" t="s">
        <v>127</v>
      </c>
      <c r="D374" s="211" t="s">
        <v>21</v>
      </c>
      <c r="E374" s="211">
        <v>91338</v>
      </c>
      <c r="F374" s="211">
        <v>36526</v>
      </c>
      <c r="G374" s="211">
        <v>226.70299999999995</v>
      </c>
      <c r="H374" s="211">
        <v>261.62</v>
      </c>
      <c r="I374" s="211">
        <v>15.402089959109519</v>
      </c>
      <c r="J374" s="211">
        <v>1547.15</v>
      </c>
      <c r="K374" s="211">
        <v>1400.22</v>
      </c>
      <c r="L374" s="211">
        <v>-9.496816727531266</v>
      </c>
      <c r="M374" s="211">
        <v>0</v>
      </c>
      <c r="N374" s="211">
        <v>0</v>
      </c>
      <c r="O374" s="212">
        <v>0</v>
      </c>
    </row>
    <row r="375" spans="1:15" ht="18.75">
      <c r="A375" s="221" t="str">
        <f>INDEX(Lookup!$A$1:$A$126,MATCH(DataYY03!C375,Lookup!$C$1:$C$126,0))</f>
        <v>Middle School</v>
      </c>
      <c r="B375" s="226" t="s">
        <v>147</v>
      </c>
      <c r="C375" s="213" t="s">
        <v>128</v>
      </c>
      <c r="D375" s="213" t="s">
        <v>23</v>
      </c>
      <c r="E375" s="213">
        <v>230087</v>
      </c>
      <c r="F375" s="213">
        <v>43952</v>
      </c>
      <c r="G375" s="213">
        <v>1132.6909999999998</v>
      </c>
      <c r="H375" s="213">
        <v>1159.78</v>
      </c>
      <c r="I375" s="213">
        <v>2.3915613349095284</v>
      </c>
      <c r="J375" s="213">
        <v>6663.21</v>
      </c>
      <c r="K375" s="213">
        <v>5026.39</v>
      </c>
      <c r="L375" s="213">
        <v>-24.565036971669812</v>
      </c>
      <c r="M375" s="213">
        <v>0</v>
      </c>
      <c r="N375" s="213">
        <v>0</v>
      </c>
      <c r="O375" s="214">
        <v>0</v>
      </c>
    </row>
    <row r="376" spans="1:15" ht="18.75">
      <c r="A376" s="221" t="str">
        <f>INDEX(Lookup!$A$1:$A$126,MATCH(DataYY03!C376,Lookup!$C$1:$C$126,0))</f>
        <v>Middle School</v>
      </c>
      <c r="B376" s="225" t="s">
        <v>147</v>
      </c>
      <c r="C376" s="211" t="s">
        <v>129</v>
      </c>
      <c r="D376" s="211" t="s">
        <v>23</v>
      </c>
      <c r="E376" s="211">
        <v>235889</v>
      </c>
      <c r="F376" s="211">
        <v>36526</v>
      </c>
      <c r="G376" s="211">
        <v>3828.51</v>
      </c>
      <c r="H376" s="211">
        <v>3000.39</v>
      </c>
      <c r="I376" s="211">
        <v>-21.63034705407587</v>
      </c>
      <c r="J376" s="211">
        <v>20269.51</v>
      </c>
      <c r="K376" s="211">
        <v>12768.15</v>
      </c>
      <c r="L376" s="211">
        <v>-37.00809738370587</v>
      </c>
      <c r="M376" s="211">
        <v>0</v>
      </c>
      <c r="N376" s="211">
        <v>0</v>
      </c>
      <c r="O376" s="212">
        <v>0</v>
      </c>
    </row>
    <row r="377" spans="1:15" ht="18.75">
      <c r="A377" s="221" t="str">
        <f>INDEX(Lookup!$A$1:$A$126,MATCH(DataYY03!C377,Lookup!$C$1:$C$126,0))</f>
        <v>Elementary School</v>
      </c>
      <c r="B377" s="226" t="s">
        <v>147</v>
      </c>
      <c r="C377" s="213" t="s">
        <v>130</v>
      </c>
      <c r="D377" s="213" t="s">
        <v>23</v>
      </c>
      <c r="E377" s="213">
        <v>107914</v>
      </c>
      <c r="F377" s="213">
        <v>36526</v>
      </c>
      <c r="G377" s="213">
        <v>454.95099999999996</v>
      </c>
      <c r="H377" s="213">
        <v>417.15</v>
      </c>
      <c r="I377" s="213">
        <v>-8.30880688249943</v>
      </c>
      <c r="J377" s="213">
        <v>2901.74</v>
      </c>
      <c r="K377" s="213">
        <v>2136.96</v>
      </c>
      <c r="L377" s="213">
        <v>-26.35591059157609</v>
      </c>
      <c r="M377" s="213">
        <v>0</v>
      </c>
      <c r="N377" s="213">
        <v>0</v>
      </c>
      <c r="O377" s="214">
        <v>0</v>
      </c>
    </row>
    <row r="378" spans="1:15" ht="18.75">
      <c r="A378" s="221" t="str">
        <f>INDEX(Lookup!$A$1:$A$126,MATCH(DataYY03!C378,Lookup!$C$1:$C$126,0))</f>
        <v>Administration</v>
      </c>
      <c r="B378" s="225" t="s">
        <v>147</v>
      </c>
      <c r="C378" s="211" t="s">
        <v>131</v>
      </c>
      <c r="D378" s="211" t="s">
        <v>23</v>
      </c>
      <c r="E378" s="211">
        <v>19649</v>
      </c>
      <c r="F378" s="211">
        <v>36526</v>
      </c>
      <c r="G378" s="211">
        <v>397.992</v>
      </c>
      <c r="H378" s="211">
        <v>297.67</v>
      </c>
      <c r="I378" s="211">
        <v>-25.20703933747413</v>
      </c>
      <c r="J378" s="211">
        <v>2467.09</v>
      </c>
      <c r="K378" s="211">
        <v>1533.93</v>
      </c>
      <c r="L378" s="211">
        <v>-37.82431933978898</v>
      </c>
      <c r="M378" s="211">
        <v>0</v>
      </c>
      <c r="N378" s="211">
        <v>0</v>
      </c>
      <c r="O378" s="212">
        <v>0</v>
      </c>
    </row>
    <row r="379" spans="1:15" ht="18.75">
      <c r="A379" s="221" t="str">
        <f>INDEX(Lookup!$A$1:$A$126,MATCH(DataYY03!C379,Lookup!$C$1:$C$126,0))</f>
        <v>Middle School</v>
      </c>
      <c r="B379" s="226" t="s">
        <v>147</v>
      </c>
      <c r="C379" s="213" t="s">
        <v>132</v>
      </c>
      <c r="D379" s="213" t="s">
        <v>21</v>
      </c>
      <c r="E379" s="213">
        <v>194432</v>
      </c>
      <c r="F379" s="213">
        <v>36526</v>
      </c>
      <c r="G379" s="213">
        <v>1406.98</v>
      </c>
      <c r="H379" s="213">
        <v>1361.66</v>
      </c>
      <c r="I379" s="213">
        <v>-3.22108345534407</v>
      </c>
      <c r="J379" s="213">
        <v>10139.31</v>
      </c>
      <c r="K379" s="213">
        <v>5909.1</v>
      </c>
      <c r="L379" s="213">
        <v>-41.72088633250191</v>
      </c>
      <c r="M379" s="213">
        <v>0</v>
      </c>
      <c r="N379" s="213">
        <v>0</v>
      </c>
      <c r="O379" s="214">
        <v>0</v>
      </c>
    </row>
    <row r="380" spans="1:15" ht="18.75">
      <c r="A380" s="221" t="str">
        <f>INDEX(Lookup!$A$1:$A$126,MATCH(DataYY03!C380,Lookup!$C$1:$C$126,0))</f>
        <v>Elementary School</v>
      </c>
      <c r="B380" s="225" t="s">
        <v>147</v>
      </c>
      <c r="C380" s="211" t="s">
        <v>133</v>
      </c>
      <c r="D380" s="211" t="s">
        <v>17</v>
      </c>
      <c r="E380" s="211">
        <v>101727</v>
      </c>
      <c r="F380" s="211">
        <v>36526</v>
      </c>
      <c r="G380" s="211">
        <v>707.816</v>
      </c>
      <c r="H380" s="211">
        <v>593.28</v>
      </c>
      <c r="I380" s="211">
        <v>-16.18160651920839</v>
      </c>
      <c r="J380" s="211">
        <v>4257.85</v>
      </c>
      <c r="K380" s="211">
        <v>2792.13</v>
      </c>
      <c r="L380" s="211">
        <v>-34.42394635790364</v>
      </c>
      <c r="M380" s="211">
        <v>0</v>
      </c>
      <c r="N380" s="211">
        <v>0</v>
      </c>
      <c r="O380" s="212">
        <v>0</v>
      </c>
    </row>
    <row r="381" spans="1:15" ht="18.75">
      <c r="A381" s="221" t="str">
        <f>INDEX(Lookup!$A$1:$A$126,MATCH(DataYY03!C381,Lookup!$C$1:$C$126,0))</f>
        <v>Middle School</v>
      </c>
      <c r="B381" s="226" t="s">
        <v>147</v>
      </c>
      <c r="C381" s="213" t="s">
        <v>134</v>
      </c>
      <c r="D381" s="213" t="s">
        <v>17</v>
      </c>
      <c r="E381" s="213">
        <v>208340</v>
      </c>
      <c r="F381" s="213">
        <v>36526</v>
      </c>
      <c r="G381" s="213">
        <v>1055.4409999999998</v>
      </c>
      <c r="H381" s="213">
        <v>1241.15</v>
      </c>
      <c r="I381" s="213">
        <v>17.59539377378746</v>
      </c>
      <c r="J381" s="213">
        <v>6134.79</v>
      </c>
      <c r="K381" s="213">
        <v>5118.66</v>
      </c>
      <c r="L381" s="213">
        <v>-16.563403148274023</v>
      </c>
      <c r="M381" s="213">
        <v>0</v>
      </c>
      <c r="N381" s="213">
        <v>0</v>
      </c>
      <c r="O381" s="214">
        <v>0</v>
      </c>
    </row>
    <row r="382" spans="1:15" ht="18.75">
      <c r="A382" s="221" t="str">
        <f>INDEX(Lookup!$A$1:$A$126,MATCH(DataYY03!C382,Lookup!$C$1:$C$126,0))</f>
        <v>Elementary School</v>
      </c>
      <c r="B382" s="225" t="s">
        <v>147</v>
      </c>
      <c r="C382" s="211" t="s">
        <v>135</v>
      </c>
      <c r="D382" s="211" t="s">
        <v>21</v>
      </c>
      <c r="E382" s="211">
        <v>98490</v>
      </c>
      <c r="F382" s="211">
        <v>36526</v>
      </c>
      <c r="G382" s="211">
        <v>350.715</v>
      </c>
      <c r="H382" s="211">
        <v>445.99</v>
      </c>
      <c r="I382" s="211">
        <v>27.165932452276067</v>
      </c>
      <c r="J382" s="211">
        <v>2231.65</v>
      </c>
      <c r="K382" s="211">
        <v>1994.6</v>
      </c>
      <c r="L382" s="211">
        <v>-10.622185378531581</v>
      </c>
      <c r="M382" s="211">
        <v>0</v>
      </c>
      <c r="N382" s="211">
        <v>0</v>
      </c>
      <c r="O382" s="212">
        <v>0</v>
      </c>
    </row>
    <row r="383" spans="1:15" ht="18.75">
      <c r="A383" s="221" t="str">
        <f>INDEX(Lookup!$A$1:$A$126,MATCH(DataYY03!C383,Lookup!$C$1:$C$126,0))</f>
        <v>Elementary School</v>
      </c>
      <c r="B383" s="226" t="s">
        <v>147</v>
      </c>
      <c r="C383" s="213" t="s">
        <v>136</v>
      </c>
      <c r="D383" s="213" t="s">
        <v>23</v>
      </c>
      <c r="E383" s="213">
        <v>99987</v>
      </c>
      <c r="F383" s="213">
        <v>36526</v>
      </c>
      <c r="G383" s="213">
        <v>306.631</v>
      </c>
      <c r="H383" s="213">
        <v>468.65</v>
      </c>
      <c r="I383" s="213">
        <v>52.838427947598255</v>
      </c>
      <c r="J383" s="213">
        <v>1922.33</v>
      </c>
      <c r="K383" s="213">
        <v>2097.44</v>
      </c>
      <c r="L383" s="213">
        <v>9.109258035821112</v>
      </c>
      <c r="M383" s="213">
        <v>0</v>
      </c>
      <c r="N383" s="213">
        <v>0</v>
      </c>
      <c r="O383" s="214">
        <v>0</v>
      </c>
    </row>
    <row r="384" spans="1:15" ht="18.75">
      <c r="A384" s="221" t="str">
        <f>INDEX(Lookup!$A$1:$A$126,MATCH(DataYY03!C384,Lookup!$C$1:$C$126,0))</f>
        <v>Middle School</v>
      </c>
      <c r="B384" s="225" t="s">
        <v>147</v>
      </c>
      <c r="C384" s="211" t="s">
        <v>137</v>
      </c>
      <c r="D384" s="211" t="s">
        <v>17</v>
      </c>
      <c r="E384" s="211">
        <v>217165</v>
      </c>
      <c r="F384" s="211">
        <v>36526</v>
      </c>
      <c r="G384" s="211">
        <v>2192.458</v>
      </c>
      <c r="H384" s="211">
        <v>2722.29</v>
      </c>
      <c r="I384" s="211">
        <v>24.16611857558958</v>
      </c>
      <c r="J384" s="211">
        <v>12526.11</v>
      </c>
      <c r="K384" s="211">
        <v>10109.74</v>
      </c>
      <c r="L384" s="211">
        <v>-19.290665657574458</v>
      </c>
      <c r="M384" s="211">
        <v>0</v>
      </c>
      <c r="N384" s="211">
        <v>0</v>
      </c>
      <c r="O384" s="212">
        <v>0</v>
      </c>
    </row>
    <row r="385" spans="1:15" ht="18.75">
      <c r="A385" s="221" t="str">
        <f>INDEX(Lookup!$A$1:$A$126,MATCH(DataYY03!C385,Lookup!$C$1:$C$126,0))</f>
        <v>Elementary School</v>
      </c>
      <c r="B385" s="226" t="s">
        <v>147</v>
      </c>
      <c r="C385" s="213" t="s">
        <v>138</v>
      </c>
      <c r="D385" s="213" t="s">
        <v>23</v>
      </c>
      <c r="E385" s="213">
        <v>122878</v>
      </c>
      <c r="F385" s="213">
        <v>36526</v>
      </c>
      <c r="G385" s="213">
        <v>1420.37</v>
      </c>
      <c r="H385" s="213">
        <v>5272.57</v>
      </c>
      <c r="I385" s="213">
        <v>271.21102248005803</v>
      </c>
      <c r="J385" s="213">
        <v>5264.92</v>
      </c>
      <c r="K385" s="213">
        <v>17413.63</v>
      </c>
      <c r="L385" s="213">
        <v>230.74823549075768</v>
      </c>
      <c r="M385" s="213">
        <v>0</v>
      </c>
      <c r="N385" s="213">
        <v>0</v>
      </c>
      <c r="O385" s="214">
        <v>0</v>
      </c>
    </row>
    <row r="386" spans="1:15" ht="18.75">
      <c r="A386" s="221" t="str">
        <f>INDEX(Lookup!$A$1:$A$126,MATCH(DataYY03!C386,Lookup!$C$1:$C$126,0))</f>
        <v>Administration</v>
      </c>
      <c r="B386" s="225" t="s">
        <v>147</v>
      </c>
      <c r="C386" s="211" t="s">
        <v>140</v>
      </c>
      <c r="D386" s="211" t="s">
        <v>23</v>
      </c>
      <c r="E386" s="211">
        <v>45340</v>
      </c>
      <c r="F386" s="211">
        <v>36526</v>
      </c>
      <c r="G386" s="211">
        <v>705.035</v>
      </c>
      <c r="H386" s="211">
        <v>1052.66</v>
      </c>
      <c r="I386" s="211">
        <v>49.30606281957634</v>
      </c>
      <c r="J386" s="211">
        <v>3994.92</v>
      </c>
      <c r="K386" s="211">
        <v>4084.19</v>
      </c>
      <c r="L386" s="211">
        <v>2.234587926666867</v>
      </c>
      <c r="M386" s="211">
        <v>0</v>
      </c>
      <c r="N386" s="211">
        <v>0</v>
      </c>
      <c r="O386" s="212">
        <v>0</v>
      </c>
    </row>
    <row r="387" spans="1:15" ht="18.75">
      <c r="A387" s="221" t="str">
        <f>INDEX(Lookup!$A$1:$A$126,MATCH(DataYY03!C387,Lookup!$C$1:$C$126,0))</f>
        <v>Elementary School</v>
      </c>
      <c r="B387" s="226" t="s">
        <v>147</v>
      </c>
      <c r="C387" s="213" t="s">
        <v>141</v>
      </c>
      <c r="D387" s="213" t="s">
        <v>17</v>
      </c>
      <c r="E387" s="213">
        <v>89993</v>
      </c>
      <c r="F387" s="213">
        <v>36526</v>
      </c>
      <c r="G387" s="213">
        <v>331.24800000000005</v>
      </c>
      <c r="H387" s="213">
        <v>342.99</v>
      </c>
      <c r="I387" s="213">
        <v>3.5447761194029757</v>
      </c>
      <c r="J387" s="213">
        <v>2142.53</v>
      </c>
      <c r="K387" s="213">
        <v>1691.22</v>
      </c>
      <c r="L387" s="213">
        <v>-21.064349157304683</v>
      </c>
      <c r="M387" s="213">
        <v>0</v>
      </c>
      <c r="N387" s="213">
        <v>0</v>
      </c>
      <c r="O387" s="214">
        <v>0</v>
      </c>
    </row>
    <row r="388" spans="1:15" ht="18.75">
      <c r="A388" s="221" t="str">
        <f>INDEX(Lookup!$A$1:$A$126,MATCH(DataYY03!C388,Lookup!$C$1:$C$126,0))</f>
        <v>Elementary School</v>
      </c>
      <c r="B388" s="225" t="s">
        <v>147</v>
      </c>
      <c r="C388" s="211" t="s">
        <v>142</v>
      </c>
      <c r="D388" s="211" t="s">
        <v>17</v>
      </c>
      <c r="E388" s="211">
        <v>84992</v>
      </c>
      <c r="F388" s="211">
        <v>36526</v>
      </c>
      <c r="G388" s="211">
        <v>296.228</v>
      </c>
      <c r="H388" s="211">
        <v>492.34</v>
      </c>
      <c r="I388" s="211">
        <v>66.20305980528511</v>
      </c>
      <c r="J388" s="211">
        <v>1938.18</v>
      </c>
      <c r="K388" s="211">
        <v>2148.58</v>
      </c>
      <c r="L388" s="211">
        <v>10.855544892631231</v>
      </c>
      <c r="M388" s="211">
        <v>0</v>
      </c>
      <c r="N388" s="211">
        <v>0</v>
      </c>
      <c r="O388" s="212">
        <v>0</v>
      </c>
    </row>
    <row r="389" spans="1:15" ht="18.75">
      <c r="A389" s="221" t="str">
        <f>INDEX(Lookup!$A$1:$A$126,MATCH(DataYY03!C389,Lookup!$C$1:$C$126,0))</f>
        <v>Special School</v>
      </c>
      <c r="B389" s="226" t="s">
        <v>147</v>
      </c>
      <c r="C389" s="213" t="s">
        <v>143</v>
      </c>
      <c r="D389" s="213" t="s">
        <v>17</v>
      </c>
      <c r="E389" s="213">
        <v>41975</v>
      </c>
      <c r="F389" s="213">
        <v>36526</v>
      </c>
      <c r="G389" s="213">
        <v>4366.17</v>
      </c>
      <c r="H389" s="213">
        <v>3103.39</v>
      </c>
      <c r="I389" s="213">
        <v>-28.921915546119365</v>
      </c>
      <c r="J389" s="213">
        <v>23092.26</v>
      </c>
      <c r="K389" s="213">
        <v>13588.43</v>
      </c>
      <c r="L389" s="213">
        <v>-41.15591111480643</v>
      </c>
      <c r="M389" s="213">
        <v>0</v>
      </c>
      <c r="N389" s="213">
        <v>0</v>
      </c>
      <c r="O389" s="214">
        <v>0</v>
      </c>
    </row>
    <row r="390" spans="1:15" ht="18.75">
      <c r="A390" s="221" t="str">
        <f>INDEX(Lookup!$A$1:$A$126,MATCH(DataYY03!C390,Lookup!$C$1:$C$126,0))</f>
        <v>Special School</v>
      </c>
      <c r="B390" s="225" t="s">
        <v>147</v>
      </c>
      <c r="C390" s="211" t="s">
        <v>144</v>
      </c>
      <c r="D390" s="211" t="s">
        <v>17</v>
      </c>
      <c r="E390" s="211">
        <v>50022</v>
      </c>
      <c r="F390" s="211">
        <v>36526</v>
      </c>
      <c r="G390" s="211">
        <v>159.54699999999997</v>
      </c>
      <c r="H390" s="211">
        <v>170.98</v>
      </c>
      <c r="I390" s="211">
        <v>7.165913492575876</v>
      </c>
      <c r="J390" s="211">
        <v>1132.33</v>
      </c>
      <c r="K390" s="211">
        <v>869.41</v>
      </c>
      <c r="L390" s="211">
        <v>-23.219379509506947</v>
      </c>
      <c r="M390" s="211">
        <v>0</v>
      </c>
      <c r="N390" s="211">
        <v>0</v>
      </c>
      <c r="O390" s="212">
        <v>0</v>
      </c>
    </row>
    <row r="391" spans="1:15" ht="18.75">
      <c r="A391" s="221" t="str">
        <f>INDEX(Lookup!$A$1:$A$126,MATCH(DataYY03!C391,Lookup!$C$1:$C$126,0))</f>
        <v>Elementary School</v>
      </c>
      <c r="B391" s="226" t="s">
        <v>147</v>
      </c>
      <c r="C391" s="213" t="s">
        <v>145</v>
      </c>
      <c r="D391" s="213" t="s">
        <v>23</v>
      </c>
      <c r="E391" s="213">
        <v>115438</v>
      </c>
      <c r="F391" s="213">
        <v>36526</v>
      </c>
      <c r="G391" s="213">
        <v>367.09200000000004</v>
      </c>
      <c r="H391" s="213">
        <v>345.05</v>
      </c>
      <c r="I391" s="213">
        <v>-6.004489337822682</v>
      </c>
      <c r="J391" s="213">
        <v>2304.23</v>
      </c>
      <c r="K391" s="213">
        <v>1664.03</v>
      </c>
      <c r="L391" s="213">
        <v>-27.783684788410877</v>
      </c>
      <c r="M391" s="213">
        <v>0</v>
      </c>
      <c r="N391" s="213">
        <v>0</v>
      </c>
      <c r="O391" s="214">
        <v>0</v>
      </c>
    </row>
    <row r="392" spans="1:15" ht="18.75">
      <c r="A392" s="221" t="str">
        <f>INDEX(Lookup!$A$1:$A$126,MATCH(DataYY03!C392,Lookup!$C$1:$C$126,0))</f>
        <v>Elementary School</v>
      </c>
      <c r="B392" s="225" t="s">
        <v>147</v>
      </c>
      <c r="C392" s="211" t="s">
        <v>146</v>
      </c>
      <c r="D392" s="211" t="s">
        <v>17</v>
      </c>
      <c r="E392" s="211">
        <v>81794</v>
      </c>
      <c r="F392" s="211">
        <v>36526</v>
      </c>
      <c r="G392" s="211">
        <v>914.434</v>
      </c>
      <c r="H392" s="211">
        <v>1032.06</v>
      </c>
      <c r="I392" s="211">
        <v>12.86325749042578</v>
      </c>
      <c r="J392" s="211">
        <v>5500.19</v>
      </c>
      <c r="K392" s="211">
        <v>4263.15</v>
      </c>
      <c r="L392" s="211">
        <v>-22.49085940667504</v>
      </c>
      <c r="M392" s="211">
        <v>0</v>
      </c>
      <c r="N392" s="211">
        <v>0</v>
      </c>
      <c r="O392" s="212">
        <v>0</v>
      </c>
    </row>
    <row r="393" spans="1:15" ht="18.75">
      <c r="A393" s="221" t="str">
        <f>INDEX(Lookup!$A$1:$A$126,MATCH(DataYY03!C393,Lookup!$C$1:$C$126,0))</f>
        <v>Middle School</v>
      </c>
      <c r="B393" s="225" t="s">
        <v>150</v>
      </c>
      <c r="C393" s="215" t="s">
        <v>25</v>
      </c>
      <c r="D393" s="215" t="s">
        <v>23</v>
      </c>
      <c r="E393" s="216">
        <v>244123</v>
      </c>
      <c r="F393" s="217">
        <v>36526</v>
      </c>
      <c r="G393" s="216">
        <v>0</v>
      </c>
      <c r="H393" s="216">
        <v>0</v>
      </c>
      <c r="I393" s="218">
        <v>0</v>
      </c>
      <c r="J393" s="219">
        <v>313.64</v>
      </c>
      <c r="K393" s="219">
        <v>307.65</v>
      </c>
      <c r="L393" s="220">
        <v>-1.9098329294732814</v>
      </c>
      <c r="M393" s="216">
        <v>0</v>
      </c>
      <c r="N393" s="216">
        <v>0</v>
      </c>
      <c r="O393" s="218">
        <v>0</v>
      </c>
    </row>
    <row r="394" spans="1:15" ht="18.75">
      <c r="A394" s="221" t="str">
        <f>INDEX(Lookup!$A$1:$A$126,MATCH(DataYY03!C394,Lookup!$C$1:$C$126,0))</f>
        <v>Administration</v>
      </c>
      <c r="B394" s="226" t="s">
        <v>150</v>
      </c>
      <c r="C394" s="215" t="s">
        <v>33</v>
      </c>
      <c r="D394" s="215" t="s">
        <v>23</v>
      </c>
      <c r="E394" s="216">
        <v>491434</v>
      </c>
      <c r="F394" s="217">
        <v>36526</v>
      </c>
      <c r="G394" s="216">
        <v>0</v>
      </c>
      <c r="H394" s="216">
        <v>0</v>
      </c>
      <c r="I394" s="218">
        <v>0</v>
      </c>
      <c r="J394" s="219">
        <v>3288.41</v>
      </c>
      <c r="K394" s="219">
        <v>3510.81</v>
      </c>
      <c r="L394" s="220">
        <v>6.76314693119167</v>
      </c>
      <c r="M394" s="216">
        <v>0</v>
      </c>
      <c r="N394" s="216">
        <v>0</v>
      </c>
      <c r="O394" s="218">
        <v>0</v>
      </c>
    </row>
    <row r="395" spans="1:15" ht="18.75">
      <c r="A395" s="221" t="str">
        <f>INDEX(Lookup!$A$1:$A$126,MATCH(DataYY03!C395,Lookup!$C$1:$C$126,0))</f>
        <v>Middle School</v>
      </c>
      <c r="B395" s="225" t="s">
        <v>150</v>
      </c>
      <c r="C395" s="215" t="s">
        <v>36</v>
      </c>
      <c r="D395" s="215" t="s">
        <v>17</v>
      </c>
      <c r="E395" s="216">
        <v>229363</v>
      </c>
      <c r="F395" s="217">
        <v>36526</v>
      </c>
      <c r="G395" s="216">
        <v>0</v>
      </c>
      <c r="H395" s="216">
        <v>0</v>
      </c>
      <c r="I395" s="218">
        <v>0</v>
      </c>
      <c r="J395" s="219">
        <v>9222</v>
      </c>
      <c r="K395" s="219">
        <v>9222.72</v>
      </c>
      <c r="L395" s="220">
        <v>0.007807417046193884</v>
      </c>
      <c r="M395" s="216">
        <v>0</v>
      </c>
      <c r="N395" s="216">
        <v>0</v>
      </c>
      <c r="O395" s="218">
        <v>0</v>
      </c>
    </row>
    <row r="396" spans="1:15" ht="18.75">
      <c r="A396" s="221" t="str">
        <f>INDEX(Lookup!$A$1:$A$126,MATCH(DataYY03!C396,Lookup!$C$1:$C$126,0))</f>
        <v>High School</v>
      </c>
      <c r="B396" s="226" t="s">
        <v>150</v>
      </c>
      <c r="C396" s="215" t="s">
        <v>49</v>
      </c>
      <c r="D396" s="215" t="s">
        <v>21</v>
      </c>
      <c r="E396" s="216">
        <v>520212</v>
      </c>
      <c r="F396" s="217">
        <v>36526</v>
      </c>
      <c r="G396" s="216">
        <v>0</v>
      </c>
      <c r="H396" s="216">
        <v>0</v>
      </c>
      <c r="I396" s="218">
        <v>0</v>
      </c>
      <c r="J396" s="219">
        <v>3494.08</v>
      </c>
      <c r="K396" s="219">
        <v>927.4</v>
      </c>
      <c r="L396" s="220">
        <v>-73.4579631834417</v>
      </c>
      <c r="M396" s="216">
        <v>0</v>
      </c>
      <c r="N396" s="216">
        <v>0</v>
      </c>
      <c r="O396" s="218">
        <v>0</v>
      </c>
    </row>
    <row r="397" spans="1:15" ht="18.75">
      <c r="A397" s="221" t="str">
        <f>INDEX(Lookup!$A$1:$A$126,MATCH(DataYY03!C397,Lookup!$C$1:$C$126,0))</f>
        <v>High School</v>
      </c>
      <c r="B397" s="225" t="s">
        <v>150</v>
      </c>
      <c r="C397" s="215" t="s">
        <v>54</v>
      </c>
      <c r="D397" s="215" t="s">
        <v>23</v>
      </c>
      <c r="E397" s="216">
        <v>535914</v>
      </c>
      <c r="F397" s="217">
        <v>36526</v>
      </c>
      <c r="G397" s="216">
        <v>0</v>
      </c>
      <c r="H397" s="216">
        <v>0</v>
      </c>
      <c r="I397" s="218">
        <v>0</v>
      </c>
      <c r="J397" s="219">
        <v>600</v>
      </c>
      <c r="K397" s="219">
        <v>600</v>
      </c>
      <c r="L397" s="220">
        <v>0</v>
      </c>
      <c r="M397" s="216">
        <v>0</v>
      </c>
      <c r="N397" s="216">
        <v>0</v>
      </c>
      <c r="O397" s="218">
        <v>0</v>
      </c>
    </row>
    <row r="398" spans="1:15" ht="18.75">
      <c r="A398" s="221" t="str">
        <f>INDEX(Lookup!$A$1:$A$126,MATCH(DataYY03!C398,Lookup!$C$1:$C$126,0))</f>
        <v>Middle School</v>
      </c>
      <c r="B398" s="226" t="s">
        <v>150</v>
      </c>
      <c r="C398" s="215" t="s">
        <v>56</v>
      </c>
      <c r="D398" s="215" t="s">
        <v>17</v>
      </c>
      <c r="E398" s="216">
        <v>213572</v>
      </c>
      <c r="F398" s="217">
        <v>36526</v>
      </c>
      <c r="G398" s="216">
        <v>0</v>
      </c>
      <c r="H398" s="216">
        <v>0</v>
      </c>
      <c r="I398" s="218">
        <v>0</v>
      </c>
      <c r="J398" s="219">
        <v>1143.21</v>
      </c>
      <c r="K398" s="219">
        <v>1175.25</v>
      </c>
      <c r="L398" s="220">
        <v>2.8026346865405305</v>
      </c>
      <c r="M398" s="216">
        <v>0</v>
      </c>
      <c r="N398" s="216">
        <v>0</v>
      </c>
      <c r="O398" s="218">
        <v>0</v>
      </c>
    </row>
    <row r="399" spans="1:15" ht="18.75">
      <c r="A399" s="221" t="str">
        <f>INDEX(Lookup!$A$1:$A$126,MATCH(DataYY03!C399,Lookup!$C$1:$C$126,0))</f>
        <v>Elementary School</v>
      </c>
      <c r="B399" s="225" t="s">
        <v>150</v>
      </c>
      <c r="C399" s="215" t="s">
        <v>61</v>
      </c>
      <c r="D399" s="215" t="s">
        <v>21</v>
      </c>
      <c r="E399" s="216">
        <v>95366</v>
      </c>
      <c r="F399" s="217">
        <v>36526</v>
      </c>
      <c r="G399" s="216">
        <v>0</v>
      </c>
      <c r="H399" s="216">
        <v>0</v>
      </c>
      <c r="I399" s="218">
        <v>0</v>
      </c>
      <c r="J399" s="219">
        <v>660</v>
      </c>
      <c r="K399" s="219">
        <v>660</v>
      </c>
      <c r="L399" s="220">
        <v>0</v>
      </c>
      <c r="M399" s="216">
        <v>0</v>
      </c>
      <c r="N399" s="216">
        <v>0</v>
      </c>
      <c r="O399" s="218">
        <v>0</v>
      </c>
    </row>
    <row r="400" spans="1:15" ht="18.75">
      <c r="A400" s="221" t="str">
        <f>INDEX(Lookup!$A$1:$A$126,MATCH(DataYY03!C400,Lookup!$C$1:$C$126,0))</f>
        <v>Elementary School</v>
      </c>
      <c r="B400" s="226" t="s">
        <v>150</v>
      </c>
      <c r="C400" s="215" t="s">
        <v>62</v>
      </c>
      <c r="D400" s="215" t="s">
        <v>17</v>
      </c>
      <c r="E400" s="216">
        <v>76544</v>
      </c>
      <c r="F400" s="217">
        <v>36526</v>
      </c>
      <c r="G400" s="216">
        <v>0</v>
      </c>
      <c r="H400" s="216">
        <v>0</v>
      </c>
      <c r="I400" s="218">
        <v>0</v>
      </c>
      <c r="J400" s="219">
        <v>167</v>
      </c>
      <c r="K400" s="219">
        <v>378.7</v>
      </c>
      <c r="L400" s="220">
        <v>126.76646706586826</v>
      </c>
      <c r="M400" s="216">
        <v>0</v>
      </c>
      <c r="N400" s="216">
        <v>0</v>
      </c>
      <c r="O400" s="218">
        <v>0</v>
      </c>
    </row>
    <row r="401" spans="1:15" ht="18.75">
      <c r="A401" s="221" t="str">
        <f>INDEX(Lookup!$A$1:$A$126,MATCH(DataYY03!C401,Lookup!$C$1:$C$126,0))</f>
        <v>Elementary School</v>
      </c>
      <c r="B401" s="225" t="s">
        <v>150</v>
      </c>
      <c r="C401" s="215" t="s">
        <v>66</v>
      </c>
      <c r="D401" s="215" t="s">
        <v>23</v>
      </c>
      <c r="E401" s="216">
        <v>95036</v>
      </c>
      <c r="F401" s="217">
        <v>36526</v>
      </c>
      <c r="G401" s="216">
        <v>0</v>
      </c>
      <c r="H401" s="216">
        <v>0</v>
      </c>
      <c r="I401" s="218">
        <v>0</v>
      </c>
      <c r="J401" s="219">
        <v>300</v>
      </c>
      <c r="K401" s="219">
        <v>348.8</v>
      </c>
      <c r="L401" s="220">
        <v>16.266666666666666</v>
      </c>
      <c r="M401" s="216">
        <v>0</v>
      </c>
      <c r="N401" s="216">
        <v>0</v>
      </c>
      <c r="O401" s="218">
        <v>0</v>
      </c>
    </row>
    <row r="402" spans="1:15" ht="18.75">
      <c r="A402" s="221" t="str">
        <f>INDEX(Lookup!$A$1:$A$126,MATCH(DataYY03!C402,Lookup!$C$1:$C$126,0))</f>
        <v>Middle School</v>
      </c>
      <c r="B402" s="226" t="s">
        <v>150</v>
      </c>
      <c r="C402" s="215" t="s">
        <v>73</v>
      </c>
      <c r="D402" s="215" t="s">
        <v>23</v>
      </c>
      <c r="E402" s="216">
        <v>218801</v>
      </c>
      <c r="F402" s="217">
        <v>36526</v>
      </c>
      <c r="G402" s="216">
        <v>0</v>
      </c>
      <c r="H402" s="216">
        <v>0</v>
      </c>
      <c r="I402" s="218">
        <v>0</v>
      </c>
      <c r="J402" s="219">
        <v>300</v>
      </c>
      <c r="K402" s="219">
        <v>300</v>
      </c>
      <c r="L402" s="220">
        <v>0</v>
      </c>
      <c r="M402" s="216">
        <v>0</v>
      </c>
      <c r="N402" s="216">
        <v>0</v>
      </c>
      <c r="O402" s="218">
        <v>0</v>
      </c>
    </row>
    <row r="403" spans="1:15" ht="18.75">
      <c r="A403" s="221" t="str">
        <f>INDEX(Lookup!$A$1:$A$126,MATCH(DataYY03!C403,Lookup!$C$1:$C$126,0))</f>
        <v>Elementary School</v>
      </c>
      <c r="B403" s="225" t="s">
        <v>150</v>
      </c>
      <c r="C403" s="215" t="s">
        <v>78</v>
      </c>
      <c r="D403" s="215" t="s">
        <v>21</v>
      </c>
      <c r="E403" s="216">
        <v>96483</v>
      </c>
      <c r="F403" s="217">
        <v>36526</v>
      </c>
      <c r="G403" s="216">
        <v>0</v>
      </c>
      <c r="H403" s="216">
        <v>0</v>
      </c>
      <c r="I403" s="218">
        <v>0</v>
      </c>
      <c r="J403" s="219">
        <v>260.62</v>
      </c>
      <c r="K403" s="219">
        <v>241</v>
      </c>
      <c r="L403" s="220">
        <v>-7.5282019798940985</v>
      </c>
      <c r="M403" s="216">
        <v>0</v>
      </c>
      <c r="N403" s="216">
        <v>0</v>
      </c>
      <c r="O403" s="218">
        <v>0</v>
      </c>
    </row>
    <row r="404" spans="1:15" ht="18.75">
      <c r="A404" s="221" t="str">
        <f>INDEX(Lookup!$A$1:$A$126,MATCH(DataYY03!C404,Lookup!$C$1:$C$126,0))</f>
        <v>Elementary School</v>
      </c>
      <c r="B404" s="226" t="s">
        <v>150</v>
      </c>
      <c r="C404" s="215" t="s">
        <v>109</v>
      </c>
      <c r="D404" s="215" t="s">
        <v>17</v>
      </c>
      <c r="E404" s="216">
        <v>88192</v>
      </c>
      <c r="F404" s="217">
        <v>36526</v>
      </c>
      <c r="G404" s="216">
        <v>0</v>
      </c>
      <c r="H404" s="216">
        <v>0</v>
      </c>
      <c r="I404" s="218">
        <v>0</v>
      </c>
      <c r="J404" s="219">
        <v>1949.05</v>
      </c>
      <c r="K404" s="219">
        <v>1939.38</v>
      </c>
      <c r="L404" s="220">
        <v>-0.4961391447115261</v>
      </c>
      <c r="M404" s="216">
        <v>0</v>
      </c>
      <c r="N404" s="216">
        <v>0</v>
      </c>
      <c r="O404" s="218">
        <v>0</v>
      </c>
    </row>
    <row r="405" spans="1:15" ht="18.75">
      <c r="A405" s="221" t="str">
        <f>INDEX(Lookup!$A$1:$A$126,MATCH(DataYY03!C405,Lookup!$C$1:$C$126,0))</f>
        <v>Elementary School</v>
      </c>
      <c r="B405" s="225" t="s">
        <v>150</v>
      </c>
      <c r="C405" s="215" t="s">
        <v>113</v>
      </c>
      <c r="D405" s="215" t="s">
        <v>17</v>
      </c>
      <c r="E405" s="216">
        <v>83355</v>
      </c>
      <c r="F405" s="217">
        <v>36526</v>
      </c>
      <c r="G405" s="216">
        <v>0</v>
      </c>
      <c r="H405" s="216">
        <v>0</v>
      </c>
      <c r="I405" s="218">
        <v>0</v>
      </c>
      <c r="J405" s="219">
        <v>112</v>
      </c>
      <c r="K405" s="219">
        <v>192</v>
      </c>
      <c r="L405" s="220">
        <v>71.42857142857143</v>
      </c>
      <c r="M405" s="216">
        <v>0</v>
      </c>
      <c r="N405" s="216">
        <v>0</v>
      </c>
      <c r="O405" s="218">
        <v>0</v>
      </c>
    </row>
    <row r="406" spans="1:15" ht="18.75">
      <c r="A406" s="221" t="str">
        <f>INDEX(Lookup!$A$1:$A$126,MATCH(DataYY03!C406,Lookup!$C$1:$C$126,0))</f>
        <v>Elementary School</v>
      </c>
      <c r="B406" s="226" t="s">
        <v>150</v>
      </c>
      <c r="C406" s="215" t="s">
        <v>117</v>
      </c>
      <c r="D406" s="215" t="s">
        <v>23</v>
      </c>
      <c r="E406" s="216">
        <v>100456</v>
      </c>
      <c r="F406" s="217">
        <v>36526</v>
      </c>
      <c r="G406" s="216">
        <v>0</v>
      </c>
      <c r="H406" s="216">
        <v>0</v>
      </c>
      <c r="I406" s="218">
        <v>0</v>
      </c>
      <c r="J406" s="219">
        <v>163.66</v>
      </c>
      <c r="K406" s="219">
        <v>96.52</v>
      </c>
      <c r="L406" s="220">
        <v>-41.024074300378835</v>
      </c>
      <c r="M406" s="216">
        <v>0</v>
      </c>
      <c r="N406" s="216">
        <v>0</v>
      </c>
      <c r="O406" s="218">
        <v>0</v>
      </c>
    </row>
    <row r="407" spans="1:15" ht="18.75">
      <c r="A407" s="221" t="str">
        <f>INDEX(Lookup!$A$1:$A$126,MATCH(DataYY03!C407,Lookup!$C$1:$C$126,0))</f>
        <v>Elementary School</v>
      </c>
      <c r="B407" s="225" t="s">
        <v>150</v>
      </c>
      <c r="C407" s="215" t="s">
        <v>121</v>
      </c>
      <c r="D407" s="215" t="s">
        <v>23</v>
      </c>
      <c r="E407" s="216">
        <v>110549</v>
      </c>
      <c r="F407" s="217">
        <v>36526</v>
      </c>
      <c r="G407" s="216">
        <v>0</v>
      </c>
      <c r="H407" s="216">
        <v>0</v>
      </c>
      <c r="I407" s="218">
        <v>0</v>
      </c>
      <c r="J407" s="219">
        <v>300</v>
      </c>
      <c r="K407" s="219">
        <v>300</v>
      </c>
      <c r="L407" s="220">
        <v>0</v>
      </c>
      <c r="M407" s="216">
        <v>0</v>
      </c>
      <c r="N407" s="216">
        <v>0</v>
      </c>
      <c r="O407" s="218">
        <v>0</v>
      </c>
    </row>
    <row r="408" spans="1:15" ht="18.75">
      <c r="A408" s="221" t="str">
        <f>INDEX(Lookup!$A$1:$A$126,MATCH(DataYY03!C408,Lookup!$C$1:$C$126,0))</f>
        <v>Elementary School</v>
      </c>
      <c r="B408" s="226" t="s">
        <v>150</v>
      </c>
      <c r="C408" s="215" t="s">
        <v>122</v>
      </c>
      <c r="D408" s="215" t="s">
        <v>21</v>
      </c>
      <c r="E408" s="216">
        <v>96996</v>
      </c>
      <c r="F408" s="217">
        <v>36526</v>
      </c>
      <c r="G408" s="216">
        <v>0</v>
      </c>
      <c r="H408" s="216">
        <v>0</v>
      </c>
      <c r="I408" s="218">
        <v>0</v>
      </c>
      <c r="J408" s="219">
        <v>288</v>
      </c>
      <c r="K408" s="219">
        <v>288</v>
      </c>
      <c r="L408" s="220">
        <v>0</v>
      </c>
      <c r="M408" s="216">
        <v>0</v>
      </c>
      <c r="N408" s="216">
        <v>0</v>
      </c>
      <c r="O408" s="218">
        <v>0</v>
      </c>
    </row>
    <row r="409" spans="1:15" ht="18.75">
      <c r="A409" s="221" t="str">
        <f>INDEX(Lookup!$A$1:$A$126,MATCH(DataYY03!C409,Lookup!$C$1:$C$126,0))</f>
        <v>Elementary School</v>
      </c>
      <c r="B409" s="225" t="s">
        <v>150</v>
      </c>
      <c r="C409" s="215" t="s">
        <v>123</v>
      </c>
      <c r="D409" s="215" t="s">
        <v>23</v>
      </c>
      <c r="E409" s="216">
        <v>92346</v>
      </c>
      <c r="F409" s="217">
        <v>36526</v>
      </c>
      <c r="G409" s="216">
        <v>0</v>
      </c>
      <c r="H409" s="216">
        <v>0</v>
      </c>
      <c r="I409" s="218">
        <v>0</v>
      </c>
      <c r="J409" s="219">
        <v>300</v>
      </c>
      <c r="K409" s="219">
        <v>300</v>
      </c>
      <c r="L409" s="220">
        <v>0</v>
      </c>
      <c r="M409" s="216">
        <v>0</v>
      </c>
      <c r="N409" s="216">
        <v>0</v>
      </c>
      <c r="O409" s="218">
        <v>0</v>
      </c>
    </row>
    <row r="410" spans="1:15" ht="18.75">
      <c r="A410" s="221" t="str">
        <f>INDEX(Lookup!$A$1:$A$126,MATCH(DataYY03!C410,Lookup!$C$1:$C$126,0))</f>
        <v>Administration</v>
      </c>
      <c r="B410" s="226" t="s">
        <v>150</v>
      </c>
      <c r="C410" s="215" t="s">
        <v>126</v>
      </c>
      <c r="D410" s="215" t="s">
        <v>23</v>
      </c>
      <c r="E410" s="216">
        <v>22020</v>
      </c>
      <c r="F410" s="217">
        <v>36526</v>
      </c>
      <c r="G410" s="216">
        <v>0</v>
      </c>
      <c r="H410" s="216">
        <v>0</v>
      </c>
      <c r="I410" s="218">
        <v>0</v>
      </c>
      <c r="J410" s="219">
        <v>300</v>
      </c>
      <c r="K410" s="219">
        <v>300</v>
      </c>
      <c r="L410" s="220">
        <v>0</v>
      </c>
      <c r="M410" s="216">
        <v>0</v>
      </c>
      <c r="N410" s="216">
        <v>0</v>
      </c>
      <c r="O410" s="218">
        <v>0</v>
      </c>
    </row>
    <row r="411" spans="1:15" ht="18.75">
      <c r="A411" s="221" t="str">
        <f>INDEX(Lookup!$A$1:$A$126,MATCH(DataYY03!C411,Lookup!$C$1:$C$126,0))</f>
        <v>Middle School</v>
      </c>
      <c r="B411" s="225" t="s">
        <v>150</v>
      </c>
      <c r="C411" s="215" t="s">
        <v>128</v>
      </c>
      <c r="D411" s="215" t="s">
        <v>23</v>
      </c>
      <c r="E411" s="216">
        <v>227015</v>
      </c>
      <c r="F411" s="217">
        <v>36526</v>
      </c>
      <c r="G411" s="216">
        <v>0</v>
      </c>
      <c r="H411" s="216">
        <v>0</v>
      </c>
      <c r="I411" s="218">
        <v>0</v>
      </c>
      <c r="J411" s="219">
        <v>180</v>
      </c>
      <c r="K411" s="219">
        <v>180</v>
      </c>
      <c r="L411" s="220">
        <v>0</v>
      </c>
      <c r="M411" s="216">
        <v>0</v>
      </c>
      <c r="N411" s="216">
        <v>0</v>
      </c>
      <c r="O411" s="218">
        <v>0</v>
      </c>
    </row>
    <row r="412" spans="1:15" ht="18.75">
      <c r="A412" s="221" t="str">
        <f>INDEX(Lookup!$A$1:$A$126,MATCH(DataYY03!C412,Lookup!$C$1:$C$126,0))</f>
        <v>Middle School</v>
      </c>
      <c r="B412" s="226" t="s">
        <v>150</v>
      </c>
      <c r="C412" s="215" t="s">
        <v>134</v>
      </c>
      <c r="D412" s="215" t="s">
        <v>17</v>
      </c>
      <c r="E412" s="216">
        <v>208340</v>
      </c>
      <c r="F412" s="217">
        <v>36526</v>
      </c>
      <c r="G412" s="216">
        <v>0</v>
      </c>
      <c r="H412" s="216">
        <v>0</v>
      </c>
      <c r="I412" s="218">
        <v>0</v>
      </c>
      <c r="J412" s="219">
        <v>421.98</v>
      </c>
      <c r="K412" s="219">
        <v>806.28</v>
      </c>
      <c r="L412" s="220">
        <v>91.07066685624912</v>
      </c>
      <c r="M412" s="216">
        <v>0</v>
      </c>
      <c r="N412" s="216">
        <v>0</v>
      </c>
      <c r="O412" s="218">
        <v>0</v>
      </c>
    </row>
    <row r="413" spans="1:15" ht="18.75">
      <c r="A413" s="221" t="str">
        <f>INDEX(Lookup!$A$1:$A$126,MATCH(DataYY03!C413,Lookup!$C$1:$C$126,0))</f>
        <v>Elementary School</v>
      </c>
      <c r="B413" s="225" t="s">
        <v>150</v>
      </c>
      <c r="C413" s="215" t="s">
        <v>136</v>
      </c>
      <c r="D413" s="215" t="s">
        <v>23</v>
      </c>
      <c r="E413" s="216">
        <v>99987</v>
      </c>
      <c r="F413" s="217">
        <v>36526</v>
      </c>
      <c r="G413" s="216">
        <v>0</v>
      </c>
      <c r="H413" s="216">
        <v>0</v>
      </c>
      <c r="I413" s="218">
        <v>0</v>
      </c>
      <c r="J413" s="219">
        <v>191.98</v>
      </c>
      <c r="K413" s="219">
        <v>192.81</v>
      </c>
      <c r="L413" s="220">
        <v>0.4323367017397646</v>
      </c>
      <c r="M413" s="216">
        <v>0</v>
      </c>
      <c r="N413" s="216">
        <v>0</v>
      </c>
      <c r="O413" s="218">
        <v>0</v>
      </c>
    </row>
    <row r="414" ht="18.75">
      <c r="K414">
        <f>SUM(K2:K413)</f>
        <v>17856592.429999992</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9"/>
  <sheetViews>
    <sheetView workbookViewId="0" topLeftCell="A1">
      <selection activeCell="F5" sqref="F5"/>
    </sheetView>
  </sheetViews>
  <sheetFormatPr defaultColWidth="8.796875" defaultRowHeight="18.75"/>
  <cols>
    <col min="1" max="1" width="15.3984375" style="0" bestFit="1" customWidth="1"/>
    <col min="2" max="2" width="13.3984375" style="0" bestFit="1" customWidth="1"/>
    <col min="3" max="3" width="13.8984375" style="0" customWidth="1"/>
    <col min="4" max="5" width="15.3984375" style="0" bestFit="1" customWidth="1"/>
    <col min="6" max="6" width="13.796875" style="0" bestFit="1" customWidth="1"/>
    <col min="7" max="7" width="16" style="0" customWidth="1"/>
    <col min="8" max="8" width="13.8984375" style="0" customWidth="1"/>
  </cols>
  <sheetData>
    <row r="1" spans="1:6" ht="18.75">
      <c r="A1" s="1" t="s">
        <v>1</v>
      </c>
      <c r="B1" t="s">
        <v>153</v>
      </c>
      <c r="E1" s="1" t="s">
        <v>1</v>
      </c>
      <c r="F1" t="s">
        <v>153</v>
      </c>
    </row>
    <row r="3" spans="1:6" ht="18.75">
      <c r="A3" s="1" t="s">
        <v>151</v>
      </c>
      <c r="B3" t="s">
        <v>160</v>
      </c>
      <c r="C3" s="15" t="s">
        <v>161</v>
      </c>
      <c r="E3" s="1" t="s">
        <v>151</v>
      </c>
      <c r="F3" t="s">
        <v>154</v>
      </c>
    </row>
    <row r="4" spans="1:6" ht="18.75">
      <c r="A4" s="2" t="s">
        <v>31</v>
      </c>
      <c r="B4" s="3">
        <v>2724368.85</v>
      </c>
      <c r="C4" s="3">
        <f>B4/F4</f>
        <v>73.9781942583136</v>
      </c>
      <c r="E4" s="2" t="s">
        <v>31</v>
      </c>
      <c r="F4" s="4">
        <v>36826.64705882353</v>
      </c>
    </row>
    <row r="5" spans="1:6" ht="18.75">
      <c r="A5" s="2" t="s">
        <v>14</v>
      </c>
      <c r="B5" s="3">
        <v>5169448.929999992</v>
      </c>
      <c r="C5" s="3">
        <f aca="true" t="shared" si="0" ref="C5:C8">B5/F5</f>
        <v>54.09778332417646</v>
      </c>
      <c r="E5" s="2" t="s">
        <v>14</v>
      </c>
      <c r="F5" s="4">
        <v>95557.5</v>
      </c>
    </row>
    <row r="6" spans="1:6" ht="18.75">
      <c r="A6" s="2" t="s">
        <v>38</v>
      </c>
      <c r="B6" s="3">
        <v>6057304.150000001</v>
      </c>
      <c r="C6" s="3">
        <f t="shared" si="0"/>
        <v>106.30877929180183</v>
      </c>
      <c r="E6" s="2" t="s">
        <v>18</v>
      </c>
      <c r="F6" s="4">
        <v>56978.4</v>
      </c>
    </row>
    <row r="7" spans="1:6" ht="18.75">
      <c r="A7" s="2" t="s">
        <v>24</v>
      </c>
      <c r="B7" s="3">
        <v>3596754.590000001</v>
      </c>
      <c r="C7" s="3">
        <f t="shared" si="0"/>
        <v>16.48054994408613</v>
      </c>
      <c r="E7" s="2" t="s">
        <v>24</v>
      </c>
      <c r="F7" s="4">
        <v>218242.38888888888</v>
      </c>
    </row>
    <row r="8" spans="1:6" ht="18.75">
      <c r="A8" s="2" t="s">
        <v>18</v>
      </c>
      <c r="B8" s="3">
        <v>308715.90999999986</v>
      </c>
      <c r="C8" s="3">
        <f t="shared" si="0"/>
        <v>0.5803752473721214</v>
      </c>
      <c r="E8" s="2" t="s">
        <v>38</v>
      </c>
      <c r="F8" s="4">
        <v>531924.6666666666</v>
      </c>
    </row>
    <row r="9" spans="1:6" ht="18.75">
      <c r="A9" s="2" t="s">
        <v>152</v>
      </c>
      <c r="B9" s="3">
        <v>17856592.429999992</v>
      </c>
      <c r="C9" s="3"/>
      <c r="E9" s="2" t="s">
        <v>152</v>
      </c>
      <c r="F9" s="4">
        <v>137597.416</v>
      </c>
    </row>
  </sheetData>
  <printOptions/>
  <pageMargins left="0.7" right="0.7" top="0.75" bottom="0.75" header="0.3" footer="0.3"/>
  <pageSetup horizontalDpi="600" verticalDpi="600" orientation="portrait" r:id="rId2"/>
  <drawing r:id="rId1"/>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Y56"/>
  <sheetViews>
    <sheetView tabSelected="1" zoomScale="47" zoomScaleNormal="47" workbookViewId="0" topLeftCell="A2">
      <selection activeCell="G9" sqref="G9"/>
    </sheetView>
  </sheetViews>
  <sheetFormatPr defaultColWidth="8.796875" defaultRowHeight="18.75"/>
  <cols>
    <col min="1" max="1" width="23.59765625" style="0" customWidth="1"/>
    <col min="2" max="2" width="20.796875" style="0" customWidth="1"/>
    <col min="3" max="3" width="4.3984375" style="0" customWidth="1"/>
    <col min="4" max="4" width="14.5" style="0" customWidth="1"/>
    <col min="5" max="5" width="13" style="0" customWidth="1"/>
    <col min="6" max="6" width="12.796875" style="0" customWidth="1"/>
    <col min="7" max="7" width="8" style="0" customWidth="1"/>
    <col min="8" max="8" width="11.5" style="0" customWidth="1"/>
    <col min="9" max="9" width="18.69921875" style="0" bestFit="1" customWidth="1"/>
    <col min="10" max="10" width="10.796875" style="0" customWidth="1"/>
    <col min="11" max="11" width="9.296875" style="0" customWidth="1"/>
    <col min="12" max="12" width="11.19921875" style="0" customWidth="1"/>
    <col min="13" max="13" width="11.3984375" style="0" bestFit="1" customWidth="1"/>
    <col min="14" max="14" width="13.3984375" style="0" customWidth="1"/>
    <col min="15" max="15" width="10.8984375" style="0" bestFit="1" customWidth="1"/>
    <col min="33" max="33" width="10.8984375" style="0" bestFit="1" customWidth="1"/>
    <col min="39" max="39" width="10.296875" style="0" customWidth="1"/>
    <col min="40" max="40" width="16.296875" style="0" customWidth="1"/>
    <col min="41" max="41" width="12.09765625" style="0" customWidth="1"/>
    <col min="44" max="44" width="15.8984375" style="0" customWidth="1"/>
    <col min="45" max="45" width="10.796875" style="0" customWidth="1"/>
    <col min="47" max="47" width="15.8984375" style="0" customWidth="1"/>
    <col min="48" max="48" width="11" style="0" customWidth="1"/>
    <col min="49" max="50" width="9" style="0" bestFit="1" customWidth="1"/>
    <col min="51" max="51" width="11" style="0" bestFit="1" customWidth="1"/>
  </cols>
  <sheetData>
    <row r="1" spans="1:43" ht="18.7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3" ht="18.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row>
    <row r="3" spans="1:43" ht="18.7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ht="59.6">
      <c r="A4" s="228" t="s">
        <v>225</v>
      </c>
      <c r="B4" s="229"/>
      <c r="C4" s="229"/>
      <c r="D4" s="229"/>
      <c r="E4" s="229"/>
      <c r="F4" s="229"/>
      <c r="G4" s="229"/>
      <c r="H4" s="229"/>
      <c r="I4" s="229"/>
      <c r="J4" s="229"/>
      <c r="K4" s="229"/>
      <c r="L4" s="229"/>
      <c r="M4" s="229"/>
      <c r="N4" s="229"/>
      <c r="O4" s="229"/>
      <c r="P4" s="229"/>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ht="18.7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43" ht="21">
      <c r="A6" s="68" t="s">
        <v>180</v>
      </c>
      <c r="B6" s="69" t="s">
        <v>212</v>
      </c>
      <c r="C6" s="68" t="s">
        <v>178</v>
      </c>
      <c r="D6" s="69" t="s">
        <v>179</v>
      </c>
      <c r="E6" s="69" t="s">
        <v>181</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row>
    <row r="7" spans="1:50" ht="25.3">
      <c r="A7" s="71" t="str">
        <f>INDEX($AR$10:$AR$14,MATCH(AX10,$AW$10:$AW$14,0))</f>
        <v>High School</v>
      </c>
      <c r="B7" s="37">
        <f>INDEX($AS$10:$AS$14,MATCH(AX10,$AW$10:$AW$14,0))</f>
        <v>6057304.150000001</v>
      </c>
      <c r="C7" s="67">
        <f>B7/$B$12</f>
        <v>0.3392194966430325</v>
      </c>
      <c r="D7" s="70">
        <f>INDEX($AV$10:$AV$14,MATCH(A7,$AU$10:$AU$14,0))</f>
        <v>6383096</v>
      </c>
      <c r="E7" s="76">
        <f>B7/D7</f>
        <v>0.9489602146043239</v>
      </c>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t="s">
        <v>1</v>
      </c>
      <c r="AS7" s="16" t="s">
        <v>153</v>
      </c>
      <c r="AT7" s="16"/>
      <c r="AU7" s="16" t="s">
        <v>1</v>
      </c>
      <c r="AV7" s="16" t="s">
        <v>153</v>
      </c>
      <c r="AW7" s="16"/>
      <c r="AX7" s="16"/>
    </row>
    <row r="8" spans="1:50" ht="25.75" thickBot="1">
      <c r="A8" s="71" t="str">
        <f>INDEX($AR$10:$AR$14,MATCH(AX11,$AW$10:$AW$14,0))</f>
        <v>Elementary School</v>
      </c>
      <c r="B8" s="37">
        <f>INDEX($AS$10:$AS$14,MATCH(AX11,$AW$10:$AW$14,0))</f>
        <v>5169448.929999992</v>
      </c>
      <c r="C8" s="67">
        <f>B8/$B$12</f>
        <v>0.28949807051647886</v>
      </c>
      <c r="D8" s="70">
        <f>INDEX($AV$10:$AV$14,MATCH(A8,$AU$10:$AU$14,0))</f>
        <v>5351220</v>
      </c>
      <c r="E8" s="76">
        <f aca="true" t="shared" si="0" ref="E8:E11">B8/D8</f>
        <v>0.9660318450745796</v>
      </c>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33" t="s">
        <v>164</v>
      </c>
      <c r="AN8" s="16"/>
      <c r="AO8" s="16"/>
      <c r="AP8" s="16"/>
      <c r="AQ8" s="16"/>
      <c r="AR8" s="16"/>
      <c r="AS8" s="16"/>
      <c r="AT8" s="16"/>
      <c r="AU8" s="16"/>
      <c r="AV8" s="16"/>
      <c r="AW8" s="16"/>
      <c r="AX8" s="16"/>
    </row>
    <row r="9" spans="1:50" ht="25.3">
      <c r="A9" s="71" t="str">
        <f>INDEX($AR$10:$AR$14,MATCH(AX12,$AW$10:$AW$14,0))</f>
        <v>Middle School</v>
      </c>
      <c r="B9" s="37">
        <f>INDEX($AS$10:$AS$14,MATCH(AX12,$AW$10:$AW$14,0))</f>
        <v>3596754.590000001</v>
      </c>
      <c r="C9" s="67">
        <f>B9/$B$12</f>
        <v>0.20142447058206855</v>
      </c>
      <c r="D9" s="70">
        <f>INDEX($AV$10:$AV$14,MATCH(A9,$AU$10:$AU$14,0))</f>
        <v>3928363</v>
      </c>
      <c r="E9" s="76">
        <f t="shared" si="0"/>
        <v>0.9155861080047849</v>
      </c>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24">
        <f>AV10/12</f>
        <v>104342.16666666667</v>
      </c>
      <c r="AN9" s="25" t="e">
        <f>#REF!</f>
        <v>#REF!</v>
      </c>
      <c r="AO9" s="26">
        <f>AS10/12</f>
        <v>227030.73750000002</v>
      </c>
      <c r="AP9" s="16"/>
      <c r="AQ9" s="16"/>
      <c r="AR9" s="16" t="s">
        <v>151</v>
      </c>
      <c r="AS9" s="16" t="s">
        <v>160</v>
      </c>
      <c r="AT9" s="16"/>
      <c r="AU9" s="16" t="s">
        <v>151</v>
      </c>
      <c r="AV9" s="16" t="s">
        <v>162</v>
      </c>
      <c r="AW9" s="16"/>
      <c r="AX9" s="16"/>
    </row>
    <row r="10" spans="1:51" ht="25.3">
      <c r="A10" s="71" t="str">
        <f>INDEX($AR$10:$AR$14,MATCH(AX13,$AW$10:$AW$14,0))</f>
        <v>Administration</v>
      </c>
      <c r="B10" s="37">
        <f>INDEX($AS$10:$AS$14,MATCH(AX13,$AW$10:$AW$14,0))</f>
        <v>2724368.85</v>
      </c>
      <c r="C10" s="67">
        <f>B10/$B$12</f>
        <v>0.15256936205968083</v>
      </c>
      <c r="D10" s="70">
        <f>INDEX($AV$10:$AV$14,MATCH(A10,$AU$10:$AU$14,0))</f>
        <v>1252106</v>
      </c>
      <c r="E10" s="76">
        <f t="shared" si="0"/>
        <v>2.1758292428915764</v>
      </c>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27">
        <f>AV11/18</f>
        <v>297290</v>
      </c>
      <c r="AN10" s="28" t="e">
        <f>#REF!</f>
        <v>#REF!</v>
      </c>
      <c r="AO10" s="29">
        <f>AS11/18</f>
        <v>287191.6072222218</v>
      </c>
      <c r="AP10" s="16"/>
      <c r="AQ10" s="16"/>
      <c r="AR10" s="17" t="s">
        <v>31</v>
      </c>
      <c r="AS10" s="37">
        <v>2724368.85</v>
      </c>
      <c r="AT10" s="16"/>
      <c r="AU10" s="17" t="s">
        <v>31</v>
      </c>
      <c r="AV10" s="18">
        <v>1252106</v>
      </c>
      <c r="AW10" s="16">
        <f>RANK(AS10,$AS$10:$AS$14,0)</f>
        <v>4</v>
      </c>
      <c r="AX10" s="16">
        <v>1</v>
      </c>
      <c r="AY10" s="4">
        <f>AV10</f>
        <v>1252106</v>
      </c>
    </row>
    <row r="11" spans="1:51" ht="25.3">
      <c r="A11" s="153" t="str">
        <f>INDEX($AR$10:$AR$14,MATCH(AX14,$AW$10:$AW$14,0))</f>
        <v>Special School</v>
      </c>
      <c r="B11" s="154">
        <f>INDEX($AS$10:$AS$14,MATCH(AX14,$AW$10:$AW$14,0))</f>
        <v>308715.90999999986</v>
      </c>
      <c r="C11" s="155">
        <f>B11/$B$12</f>
        <v>0.017288624279481767</v>
      </c>
      <c r="D11" s="156">
        <f>INDEX($AV$10:$AV$14,MATCH(A11,$AU$10:$AU$14,0))</f>
        <v>284892</v>
      </c>
      <c r="E11" s="157">
        <f t="shared" si="0"/>
        <v>1.083624355896269</v>
      </c>
      <c r="F11" s="16"/>
      <c r="G11" s="16"/>
      <c r="H11" s="16"/>
      <c r="I11" s="16"/>
      <c r="J11" s="19"/>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27">
        <f>AV12/56</f>
        <v>5087.357142857143</v>
      </c>
      <c r="AN11" s="28" t="e">
        <f>#REF!</f>
        <v>#REF!</v>
      </c>
      <c r="AO11" s="29">
        <f>AS12/56</f>
        <v>5512.784107142855</v>
      </c>
      <c r="AP11" s="16"/>
      <c r="AQ11" s="16"/>
      <c r="AR11" s="17" t="s">
        <v>14</v>
      </c>
      <c r="AS11" s="37">
        <v>5169448.929999992</v>
      </c>
      <c r="AT11" s="16"/>
      <c r="AU11" s="17" t="s">
        <v>14</v>
      </c>
      <c r="AV11" s="18">
        <v>5351220</v>
      </c>
      <c r="AW11" s="16">
        <f>RANK(AS11,$AS$10:$AS$14,0)</f>
        <v>2</v>
      </c>
      <c r="AX11" s="16">
        <v>2</v>
      </c>
      <c r="AY11" s="4">
        <f>AV11</f>
        <v>5351220</v>
      </c>
    </row>
    <row r="12" spans="1:51" ht="28.3" thickBot="1">
      <c r="A12" s="75" t="str">
        <f>"% Expenses ( "&amp;ROUND(B12/AN23*100,1)&amp;"%)"</f>
        <v>% Expenses ( 100%)</v>
      </c>
      <c r="B12" s="158">
        <f>ROUND(SUM(B7:B11),0)</f>
        <v>17856592</v>
      </c>
      <c r="C12" s="67"/>
      <c r="D12" s="160">
        <f>_xlfn.IFERROR(SUM(D7:D11),"")</f>
        <v>17199677</v>
      </c>
      <c r="E12" s="159" t="s">
        <v>213</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30">
        <f>AV13/4</f>
        <v>982090.75</v>
      </c>
      <c r="AN12" s="31" t="e">
        <f>#REF!</f>
        <v>#REF!</v>
      </c>
      <c r="AO12" s="32">
        <f>AS13/4</f>
        <v>899188.6475000002</v>
      </c>
      <c r="AP12" s="16"/>
      <c r="AQ12" s="16"/>
      <c r="AR12" s="17" t="s">
        <v>18</v>
      </c>
      <c r="AS12" s="37">
        <v>308715.90999999986</v>
      </c>
      <c r="AT12" s="16"/>
      <c r="AU12" s="17" t="s">
        <v>18</v>
      </c>
      <c r="AV12" s="18">
        <v>284892</v>
      </c>
      <c r="AW12" s="16">
        <f>RANK(AS12,$AS$10:$AS$14,0)</f>
        <v>5</v>
      </c>
      <c r="AX12" s="16">
        <v>3</v>
      </c>
      <c r="AY12" s="4">
        <f>AV12</f>
        <v>284892</v>
      </c>
    </row>
    <row r="13" spans="1:51" ht="18.7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7" t="s">
        <v>24</v>
      </c>
      <c r="AS13" s="37">
        <v>3596754.590000001</v>
      </c>
      <c r="AT13" s="16"/>
      <c r="AU13" s="17" t="s">
        <v>24</v>
      </c>
      <c r="AV13" s="18">
        <v>3928363</v>
      </c>
      <c r="AW13" s="16">
        <f>RANK(AS13,$AS$10:$AS$14,0)</f>
        <v>3</v>
      </c>
      <c r="AX13" s="16">
        <v>4</v>
      </c>
      <c r="AY13" s="4">
        <f>AV13</f>
        <v>3928363</v>
      </c>
    </row>
    <row r="14" spans="1:51" ht="18.9" thickBot="1">
      <c r="A14" s="16"/>
      <c r="B14" s="16"/>
      <c r="C14" s="16"/>
      <c r="D14" s="16"/>
      <c r="E14" s="16"/>
      <c r="F14" s="34"/>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7" t="s">
        <v>38</v>
      </c>
      <c r="AS14" s="37">
        <v>6057304.150000001</v>
      </c>
      <c r="AT14" s="16"/>
      <c r="AU14" s="17" t="s">
        <v>38</v>
      </c>
      <c r="AV14" s="18">
        <v>6383096</v>
      </c>
      <c r="AW14" s="16">
        <f>RANK(AS14,$AS$10:$AS$14,0)</f>
        <v>1</v>
      </c>
      <c r="AX14" s="16">
        <v>5</v>
      </c>
      <c r="AY14" s="4">
        <f>AV14</f>
        <v>6383096</v>
      </c>
    </row>
    <row r="15" spans="1:51" ht="42.9" thickBot="1">
      <c r="A15" s="16"/>
      <c r="B15" s="16"/>
      <c r="C15" s="16"/>
      <c r="D15" s="16"/>
      <c r="E15" s="131" t="s">
        <v>175</v>
      </c>
      <c r="F15" s="132"/>
      <c r="G15" s="16"/>
      <c r="H15" s="236" t="s">
        <v>208</v>
      </c>
      <c r="I15" s="237"/>
      <c r="J15" s="237"/>
      <c r="K15" s="237"/>
      <c r="L15" s="237"/>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7" t="s">
        <v>152</v>
      </c>
      <c r="AS15" s="38">
        <v>17856592.429999996</v>
      </c>
      <c r="AT15" s="16"/>
      <c r="AU15" s="17" t="s">
        <v>152</v>
      </c>
      <c r="AV15" s="18">
        <v>17199677</v>
      </c>
      <c r="AW15" s="16"/>
      <c r="AX15" s="16"/>
      <c r="AY15" s="4">
        <f>SUM(AY10:AY14)</f>
        <v>17199677</v>
      </c>
    </row>
    <row r="16" spans="1:43" ht="38.15" customHeight="1" thickBot="1">
      <c r="A16" s="16"/>
      <c r="B16" s="16"/>
      <c r="C16" s="16"/>
      <c r="D16" s="16"/>
      <c r="E16" s="72" t="s">
        <v>174</v>
      </c>
      <c r="F16" s="73">
        <f>B12/D12</f>
        <v>1.0381934497955978</v>
      </c>
      <c r="G16" s="76"/>
      <c r="H16" s="135" t="s">
        <v>1</v>
      </c>
      <c r="I16" s="230" t="s">
        <v>214</v>
      </c>
      <c r="J16" s="231"/>
      <c r="K16" s="230" t="s">
        <v>221</v>
      </c>
      <c r="L16" s="231"/>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24.45" thickBot="1">
      <c r="A17" s="16"/>
      <c r="B17" s="16"/>
      <c r="C17" s="16"/>
      <c r="D17" s="16"/>
      <c r="E17" s="74" t="s">
        <v>167</v>
      </c>
      <c r="F17" s="73">
        <f>SUM(AS11,AS13,AS14)/SUM(AV11,AV13,AV14)</f>
        <v>0.9464222353021469</v>
      </c>
      <c r="G17" s="76"/>
      <c r="H17" s="133" t="s">
        <v>15</v>
      </c>
      <c r="I17" s="148">
        <f>Benchmark!F13</f>
        <v>183224774</v>
      </c>
      <c r="J17" s="151" t="s">
        <v>209</v>
      </c>
      <c r="K17" s="162">
        <f>AS29/I17</f>
        <v>0.0715429006341686</v>
      </c>
      <c r="L17" s="164" t="s">
        <v>218</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65" t="s">
        <v>1</v>
      </c>
      <c r="AN17" s="66" t="s">
        <v>176</v>
      </c>
      <c r="AO17" s="16"/>
      <c r="AP17" s="16"/>
      <c r="AQ17" s="16"/>
    </row>
    <row r="18" spans="1:43" ht="21.9" thickBot="1">
      <c r="A18" s="16"/>
      <c r="B18" s="16"/>
      <c r="C18" s="16"/>
      <c r="D18" s="16"/>
      <c r="E18" s="16"/>
      <c r="F18" s="16"/>
      <c r="G18" s="16"/>
      <c r="H18" s="133" t="s">
        <v>148</v>
      </c>
      <c r="I18" s="148">
        <f>water!B26*1000</f>
        <v>426197610.00000006</v>
      </c>
      <c r="J18" s="151" t="s">
        <v>210</v>
      </c>
      <c r="K18" s="161">
        <f>AS40/(I18/1000)</f>
        <v>9.414823982706048</v>
      </c>
      <c r="L18" s="164" t="s">
        <v>219</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59" t="s">
        <v>15</v>
      </c>
      <c r="AN18" s="61">
        <v>13108431.800000003</v>
      </c>
      <c r="AO18" s="16"/>
      <c r="AP18" s="16"/>
      <c r="AQ18" s="16"/>
    </row>
    <row r="19" spans="1:51" ht="21.9" thickBot="1">
      <c r="A19" s="16"/>
      <c r="B19" s="16"/>
      <c r="C19" s="16"/>
      <c r="D19" s="16"/>
      <c r="E19" s="16"/>
      <c r="F19" s="16"/>
      <c r="G19" s="16"/>
      <c r="H19" s="149" t="s">
        <v>206</v>
      </c>
      <c r="I19" s="150">
        <f>Benchmark!F47*10</f>
        <v>1837241.8999999994</v>
      </c>
      <c r="J19" s="152" t="s">
        <v>211</v>
      </c>
      <c r="K19" s="163">
        <f>AS51/I19</f>
        <v>0.40037468664306003</v>
      </c>
      <c r="L19" s="165" t="s">
        <v>220</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81" t="s">
        <v>150</v>
      </c>
      <c r="AN19" s="62">
        <v>22267.320000000003</v>
      </c>
      <c r="AO19" s="16"/>
      <c r="AP19" s="16"/>
      <c r="AQ19" s="24"/>
      <c r="AR19" s="166"/>
      <c r="AS19" s="166"/>
      <c r="AT19" s="166"/>
      <c r="AU19" s="166"/>
      <c r="AV19" s="166"/>
      <c r="AW19" s="166"/>
      <c r="AX19" s="166"/>
      <c r="AY19" s="167"/>
    </row>
    <row r="20" spans="1:51" ht="18.7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81" t="s">
        <v>149</v>
      </c>
      <c r="AN20" s="62">
        <v>748082.2600000001</v>
      </c>
      <c r="AO20" s="16"/>
      <c r="AP20" s="16"/>
      <c r="AQ20" s="27"/>
      <c r="AR20" s="168" t="s">
        <v>216</v>
      </c>
      <c r="AS20" s="168"/>
      <c r="AT20" s="168"/>
      <c r="AU20" s="168"/>
      <c r="AV20" s="168"/>
      <c r="AW20" s="168"/>
      <c r="AX20" s="168"/>
      <c r="AY20" s="169"/>
    </row>
    <row r="21" spans="1:51" ht="19.5" thickBo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81" t="s">
        <v>147</v>
      </c>
      <c r="AN21" s="62">
        <v>735585.1499999997</v>
      </c>
      <c r="AO21" s="16"/>
      <c r="AP21" s="16"/>
      <c r="AQ21" s="27"/>
      <c r="AR21" s="170" t="s">
        <v>1</v>
      </c>
      <c r="AS21" s="170" t="s">
        <v>15</v>
      </c>
      <c r="AT21" s="170"/>
      <c r="AU21" s="170" t="s">
        <v>1</v>
      </c>
      <c r="AV21" s="170" t="s">
        <v>153</v>
      </c>
      <c r="AW21" s="170"/>
      <c r="AX21" s="170"/>
      <c r="AY21" s="169"/>
    </row>
    <row r="22" spans="1:51" ht="42" thickBot="1">
      <c r="A22" s="16"/>
      <c r="B22" s="16"/>
      <c r="C22" s="16"/>
      <c r="D22" s="16"/>
      <c r="E22" s="16"/>
      <c r="F22" s="16"/>
      <c r="G22" s="16"/>
      <c r="H22" s="232" t="s">
        <v>188</v>
      </c>
      <c r="I22" s="233"/>
      <c r="J22" s="234"/>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60" t="s">
        <v>148</v>
      </c>
      <c r="AN22" s="62">
        <v>3242225.8999999985</v>
      </c>
      <c r="AO22" s="16"/>
      <c r="AP22" s="16"/>
      <c r="AQ22" s="27"/>
      <c r="AR22" s="170"/>
      <c r="AS22" s="170"/>
      <c r="AT22" s="170"/>
      <c r="AU22" s="170"/>
      <c r="AV22" s="170"/>
      <c r="AW22" s="170"/>
      <c r="AX22" s="170"/>
      <c r="AY22" s="169"/>
    </row>
    <row r="23" spans="1:51" ht="29.25" thickBot="1">
      <c r="A23" s="16"/>
      <c r="B23" s="16"/>
      <c r="C23" s="16"/>
      <c r="D23" s="16"/>
      <c r="E23" s="16"/>
      <c r="F23" s="16"/>
      <c r="G23" s="16"/>
      <c r="H23" s="135" t="s">
        <v>190</v>
      </c>
      <c r="I23" s="136" t="s">
        <v>167</v>
      </c>
      <c r="J23" s="137" t="s">
        <v>189</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64" t="s">
        <v>152</v>
      </c>
      <c r="AN23" s="63">
        <v>17856592.43</v>
      </c>
      <c r="AO23" s="16"/>
      <c r="AP23" s="16"/>
      <c r="AQ23" s="27"/>
      <c r="AR23" s="170" t="s">
        <v>151</v>
      </c>
      <c r="AS23" s="170" t="s">
        <v>160</v>
      </c>
      <c r="AT23" s="170"/>
      <c r="AU23" s="170" t="s">
        <v>151</v>
      </c>
      <c r="AV23" s="170" t="s">
        <v>162</v>
      </c>
      <c r="AW23" s="170"/>
      <c r="AX23" s="170"/>
      <c r="AY23" s="169"/>
    </row>
    <row r="24" spans="1:51" ht="22.5">
      <c r="A24" s="16"/>
      <c r="B24" s="16"/>
      <c r="C24" s="16"/>
      <c r="D24" s="16"/>
      <c r="E24" s="16"/>
      <c r="F24" s="16"/>
      <c r="G24" s="16"/>
      <c r="H24" s="133" t="s">
        <v>186</v>
      </c>
      <c r="I24" s="138">
        <f>Benchmark!G13</f>
        <v>9.677337848891934</v>
      </c>
      <c r="J24" s="139">
        <f>Benchmark!G12</f>
        <v>10.615424121045994</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27"/>
      <c r="AR24" s="171" t="s">
        <v>31</v>
      </c>
      <c r="AS24" s="172">
        <v>3126417.1000000006</v>
      </c>
      <c r="AT24" s="170"/>
      <c r="AU24" s="171" t="s">
        <v>31</v>
      </c>
      <c r="AV24" s="173">
        <v>3312668</v>
      </c>
      <c r="AW24" s="170">
        <v>2</v>
      </c>
      <c r="AX24" s="170">
        <v>1</v>
      </c>
      <c r="AY24" s="169"/>
    </row>
    <row r="25" spans="1:51" ht="29.6" thickBot="1">
      <c r="A25" s="235" t="s">
        <v>215</v>
      </c>
      <c r="B25" s="235"/>
      <c r="C25" s="235"/>
      <c r="D25" s="16"/>
      <c r="E25" s="16"/>
      <c r="F25" s="34"/>
      <c r="G25" s="16"/>
      <c r="H25" s="134" t="s">
        <v>187</v>
      </c>
      <c r="I25" s="140">
        <f>Benchmark!F26</f>
        <v>41.71157189290542</v>
      </c>
      <c r="J25" s="141">
        <f>Benchmark!F42</f>
        <v>47.02920403028499</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27"/>
      <c r="AR25" s="171" t="s">
        <v>170</v>
      </c>
      <c r="AS25" s="172">
        <v>4578223.51</v>
      </c>
      <c r="AT25" s="170"/>
      <c r="AU25" s="171" t="s">
        <v>170</v>
      </c>
      <c r="AV25" s="173">
        <v>6278314</v>
      </c>
      <c r="AW25" s="170">
        <v>1</v>
      </c>
      <c r="AX25" s="170">
        <v>2</v>
      </c>
      <c r="AY25" s="169"/>
    </row>
    <row r="26" spans="1:51" ht="18.75">
      <c r="A26" s="16"/>
      <c r="B26" s="16"/>
      <c r="C26" s="16"/>
      <c r="D26" s="16"/>
      <c r="E26" s="16"/>
      <c r="F26" s="16"/>
      <c r="G26" s="16"/>
      <c r="H26" s="16"/>
      <c r="I26" s="20"/>
      <c r="J26" s="19"/>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27"/>
      <c r="AR26" s="171" t="s">
        <v>171</v>
      </c>
      <c r="AS26" s="172">
        <v>2822561.44</v>
      </c>
      <c r="AT26" s="170"/>
      <c r="AU26" s="171" t="s">
        <v>171</v>
      </c>
      <c r="AV26" s="173">
        <v>3454156</v>
      </c>
      <c r="AW26" s="170">
        <v>3</v>
      </c>
      <c r="AX26" s="170">
        <v>3</v>
      </c>
      <c r="AY26" s="169"/>
    </row>
    <row r="27" spans="1:51" ht="18.7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27"/>
      <c r="AR27" s="171" t="s">
        <v>172</v>
      </c>
      <c r="AS27" s="172">
        <v>2385403.4599999995</v>
      </c>
      <c r="AT27" s="170"/>
      <c r="AU27" s="171" t="s">
        <v>172</v>
      </c>
      <c r="AV27" s="173">
        <v>3407709</v>
      </c>
      <c r="AW27" s="170">
        <v>4</v>
      </c>
      <c r="AX27" s="170">
        <v>4</v>
      </c>
      <c r="AY27" s="169"/>
    </row>
    <row r="28" spans="1:51" ht="18.7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27"/>
      <c r="AR28" s="171" t="s">
        <v>173</v>
      </c>
      <c r="AS28" s="172">
        <v>195826.29</v>
      </c>
      <c r="AT28" s="170"/>
      <c r="AU28" s="171" t="s">
        <v>173</v>
      </c>
      <c r="AV28" s="173">
        <v>198897</v>
      </c>
      <c r="AW28" s="170">
        <v>5</v>
      </c>
      <c r="AX28" s="170">
        <v>5</v>
      </c>
      <c r="AY28" s="169"/>
    </row>
    <row r="29" spans="1:51" ht="18.7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27"/>
      <c r="AR29" s="171" t="s">
        <v>152</v>
      </c>
      <c r="AS29" s="174">
        <v>13108431.799999999</v>
      </c>
      <c r="AT29" s="170"/>
      <c r="AU29" s="171" t="s">
        <v>152</v>
      </c>
      <c r="AV29" s="173">
        <v>16651744</v>
      </c>
      <c r="AW29" s="170"/>
      <c r="AX29" s="170"/>
      <c r="AY29" s="169"/>
    </row>
    <row r="30" spans="1:51" ht="18.7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27"/>
      <c r="AR30" s="168"/>
      <c r="AS30" s="168"/>
      <c r="AT30" s="168"/>
      <c r="AU30" s="168"/>
      <c r="AV30" s="168"/>
      <c r="AW30" s="168"/>
      <c r="AX30" s="168"/>
      <c r="AY30" s="169"/>
    </row>
    <row r="31" spans="1:51" ht="18.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27"/>
      <c r="AR31" s="171" t="s">
        <v>148</v>
      </c>
      <c r="AS31" s="168"/>
      <c r="AT31" s="168"/>
      <c r="AU31" s="168"/>
      <c r="AV31" s="168"/>
      <c r="AW31" s="168"/>
      <c r="AX31" s="168"/>
      <c r="AY31" s="169"/>
    </row>
    <row r="32" spans="1:51" ht="18.7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27"/>
      <c r="AR32" s="175" t="s">
        <v>1</v>
      </c>
      <c r="AS32" s="175" t="s">
        <v>183</v>
      </c>
      <c r="AT32" s="175"/>
      <c r="AU32" s="175" t="s">
        <v>1</v>
      </c>
      <c r="AV32" s="175" t="s">
        <v>153</v>
      </c>
      <c r="AW32" s="175"/>
      <c r="AX32" s="175"/>
      <c r="AY32" s="169"/>
    </row>
    <row r="33" spans="1:51" ht="18.7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27"/>
      <c r="AR33" s="175"/>
      <c r="AS33" s="175"/>
      <c r="AT33" s="175"/>
      <c r="AU33" s="175"/>
      <c r="AV33" s="175"/>
      <c r="AW33" s="175"/>
      <c r="AX33" s="175"/>
      <c r="AY33" s="169"/>
    </row>
    <row r="34" spans="1:51" ht="18.7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27"/>
      <c r="AR34" s="175" t="s">
        <v>151</v>
      </c>
      <c r="AS34" s="175" t="s">
        <v>160</v>
      </c>
      <c r="AT34" s="175"/>
      <c r="AU34" s="175" t="s">
        <v>151</v>
      </c>
      <c r="AV34" s="175" t="s">
        <v>162</v>
      </c>
      <c r="AW34" s="175"/>
      <c r="AX34" s="175"/>
      <c r="AY34" s="169"/>
    </row>
    <row r="35" spans="1:51" ht="18.7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27"/>
      <c r="AR35" s="176" t="s">
        <v>31</v>
      </c>
      <c r="AS35" s="177">
        <v>354249.7</v>
      </c>
      <c r="AT35" s="175"/>
      <c r="AU35" s="176" t="s">
        <v>31</v>
      </c>
      <c r="AV35" s="178">
        <v>3312668</v>
      </c>
      <c r="AW35" s="175">
        <v>4</v>
      </c>
      <c r="AX35" s="175">
        <v>1</v>
      </c>
      <c r="AY35" s="169"/>
    </row>
    <row r="36" spans="1:51" ht="18.7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27"/>
      <c r="AR36" s="176" t="s">
        <v>170</v>
      </c>
      <c r="AS36" s="177">
        <v>1662183.2299999997</v>
      </c>
      <c r="AT36" s="175"/>
      <c r="AU36" s="176" t="s">
        <v>170</v>
      </c>
      <c r="AV36" s="178">
        <v>6278314</v>
      </c>
      <c r="AW36" s="175">
        <v>1</v>
      </c>
      <c r="AX36" s="175">
        <v>2</v>
      </c>
      <c r="AY36" s="169"/>
    </row>
    <row r="37" spans="1:51" ht="18.7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27"/>
      <c r="AR37" s="176" t="s">
        <v>171</v>
      </c>
      <c r="AS37" s="177">
        <v>1377112.9700000002</v>
      </c>
      <c r="AT37" s="175"/>
      <c r="AU37" s="176" t="s">
        <v>171</v>
      </c>
      <c r="AV37" s="178">
        <v>3454156</v>
      </c>
      <c r="AW37" s="175">
        <v>2</v>
      </c>
      <c r="AX37" s="175">
        <v>3</v>
      </c>
      <c r="AY37" s="169"/>
    </row>
    <row r="38" spans="1:51" ht="18.7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27"/>
      <c r="AR38" s="176" t="s">
        <v>172</v>
      </c>
      <c r="AS38" s="177">
        <v>611933.9899999999</v>
      </c>
      <c r="AT38" s="175"/>
      <c r="AU38" s="176" t="s">
        <v>172</v>
      </c>
      <c r="AV38" s="178">
        <v>3407709</v>
      </c>
      <c r="AW38" s="175">
        <v>3</v>
      </c>
      <c r="AX38" s="175">
        <v>4</v>
      </c>
      <c r="AY38" s="169"/>
    </row>
    <row r="39" spans="43:51" ht="18.75">
      <c r="AQ39" s="179"/>
      <c r="AR39" s="176" t="s">
        <v>173</v>
      </c>
      <c r="AS39" s="177">
        <v>7095.59</v>
      </c>
      <c r="AT39" s="175"/>
      <c r="AU39" s="176" t="s">
        <v>173</v>
      </c>
      <c r="AV39" s="178">
        <v>198897</v>
      </c>
      <c r="AW39" s="175">
        <v>5</v>
      </c>
      <c r="AX39" s="175">
        <v>5</v>
      </c>
      <c r="AY39" s="169"/>
    </row>
    <row r="40" spans="43:51" ht="18.75">
      <c r="AQ40" s="179"/>
      <c r="AR40" s="176" t="s">
        <v>152</v>
      </c>
      <c r="AS40" s="180">
        <v>4012575.4799999995</v>
      </c>
      <c r="AT40" s="175"/>
      <c r="AU40" s="176" t="s">
        <v>152</v>
      </c>
      <c r="AV40" s="178">
        <v>16651744</v>
      </c>
      <c r="AW40" s="175"/>
      <c r="AX40" s="175"/>
      <c r="AY40" s="169"/>
    </row>
    <row r="41" spans="43:51" ht="18.75">
      <c r="AQ41" s="179"/>
      <c r="AR41" s="168"/>
      <c r="AS41" s="168"/>
      <c r="AT41" s="168"/>
      <c r="AU41" s="168"/>
      <c r="AV41" s="168"/>
      <c r="AW41" s="168"/>
      <c r="AX41" s="168"/>
      <c r="AY41" s="169"/>
    </row>
    <row r="42" spans="43:51" ht="18.75">
      <c r="AQ42" s="179"/>
      <c r="AR42" s="171" t="s">
        <v>217</v>
      </c>
      <c r="AS42" s="168"/>
      <c r="AT42" s="168"/>
      <c r="AU42" s="168"/>
      <c r="AV42" s="168"/>
      <c r="AW42" s="168"/>
      <c r="AX42" s="168"/>
      <c r="AY42" s="169"/>
    </row>
    <row r="43" spans="43:51" ht="18.75">
      <c r="AQ43" s="179"/>
      <c r="AR43" s="181" t="s">
        <v>1</v>
      </c>
      <c r="AS43" s="181" t="s">
        <v>147</v>
      </c>
      <c r="AT43" s="170"/>
      <c r="AU43" s="182" t="s">
        <v>1</v>
      </c>
      <c r="AV43" s="170" t="s">
        <v>153</v>
      </c>
      <c r="AW43" s="170"/>
      <c r="AX43" s="170"/>
      <c r="AY43" s="169"/>
    </row>
    <row r="44" spans="43:51" ht="18.75">
      <c r="AQ44" s="179"/>
      <c r="AR44" s="181"/>
      <c r="AS44" s="181"/>
      <c r="AT44" s="181"/>
      <c r="AU44" s="181"/>
      <c r="AV44" s="181"/>
      <c r="AW44" s="181"/>
      <c r="AX44" s="181"/>
      <c r="AY44" s="169"/>
    </row>
    <row r="45" spans="43:51" ht="18.75">
      <c r="AQ45" s="179"/>
      <c r="AR45" s="181" t="s">
        <v>151</v>
      </c>
      <c r="AS45" s="181" t="s">
        <v>160</v>
      </c>
      <c r="AT45" s="181"/>
      <c r="AU45" s="181" t="s">
        <v>151</v>
      </c>
      <c r="AV45" s="181" t="s">
        <v>162</v>
      </c>
      <c r="AW45" s="181"/>
      <c r="AX45" s="181"/>
      <c r="AY45" s="169"/>
    </row>
    <row r="46" spans="43:51" ht="18.75">
      <c r="AQ46" s="179"/>
      <c r="AR46" s="183" t="s">
        <v>31</v>
      </c>
      <c r="AS46" s="184">
        <v>122994.93000000001</v>
      </c>
      <c r="AT46" s="181"/>
      <c r="AU46" s="183" t="s">
        <v>31</v>
      </c>
      <c r="AV46" s="185">
        <v>3312668</v>
      </c>
      <c r="AW46" s="181">
        <v>4</v>
      </c>
      <c r="AX46" s="181">
        <v>1</v>
      </c>
      <c r="AY46" s="169"/>
    </row>
    <row r="47" spans="43:51" ht="18.75">
      <c r="AQ47" s="179"/>
      <c r="AR47" s="183" t="s">
        <v>170</v>
      </c>
      <c r="AS47" s="184">
        <v>220082.36000000002</v>
      </c>
      <c r="AT47" s="181"/>
      <c r="AU47" s="183" t="s">
        <v>170</v>
      </c>
      <c r="AV47" s="185">
        <v>6278314</v>
      </c>
      <c r="AW47" s="181">
        <v>1</v>
      </c>
      <c r="AX47" s="181">
        <v>2</v>
      </c>
      <c r="AY47" s="169"/>
    </row>
    <row r="48" spans="43:51" ht="18.75">
      <c r="AQ48" s="179"/>
      <c r="AR48" s="183" t="s">
        <v>171</v>
      </c>
      <c r="AS48" s="184">
        <v>147933.58000000002</v>
      </c>
      <c r="AT48" s="181"/>
      <c r="AU48" s="183" t="s">
        <v>171</v>
      </c>
      <c r="AV48" s="185">
        <v>3454156</v>
      </c>
      <c r="AW48" s="181">
        <v>3</v>
      </c>
      <c r="AX48" s="181">
        <v>3</v>
      </c>
      <c r="AY48" s="169"/>
    </row>
    <row r="49" spans="43:51" ht="18.75">
      <c r="AQ49" s="179"/>
      <c r="AR49" s="183" t="s">
        <v>172</v>
      </c>
      <c r="AS49" s="184">
        <v>203083.93</v>
      </c>
      <c r="AT49" s="181"/>
      <c r="AU49" s="183" t="s">
        <v>172</v>
      </c>
      <c r="AV49" s="185">
        <v>3407709</v>
      </c>
      <c r="AW49" s="181">
        <v>2</v>
      </c>
      <c r="AX49" s="181">
        <v>4</v>
      </c>
      <c r="AY49" s="169"/>
    </row>
    <row r="50" spans="43:51" ht="18.75">
      <c r="AQ50" s="179"/>
      <c r="AR50" s="183" t="s">
        <v>173</v>
      </c>
      <c r="AS50" s="184">
        <v>41490.35</v>
      </c>
      <c r="AT50" s="181"/>
      <c r="AU50" s="183" t="s">
        <v>173</v>
      </c>
      <c r="AV50" s="185">
        <v>198897</v>
      </c>
      <c r="AW50" s="181">
        <v>5</v>
      </c>
      <c r="AX50" s="181">
        <v>5</v>
      </c>
      <c r="AY50" s="169"/>
    </row>
    <row r="51" spans="43:51" ht="18.75">
      <c r="AQ51" s="179"/>
      <c r="AR51" s="183" t="s">
        <v>152</v>
      </c>
      <c r="AS51" s="186">
        <v>735585.15</v>
      </c>
      <c r="AT51" s="181"/>
      <c r="AU51" s="183" t="s">
        <v>152</v>
      </c>
      <c r="AV51" s="185">
        <v>16651744</v>
      </c>
      <c r="AW51" s="181"/>
      <c r="AX51" s="181"/>
      <c r="AY51" s="169"/>
    </row>
    <row r="52" spans="43:51" ht="18.75">
      <c r="AQ52" s="179"/>
      <c r="AR52" s="168"/>
      <c r="AS52" s="168"/>
      <c r="AT52" s="168"/>
      <c r="AU52" s="168"/>
      <c r="AV52" s="168"/>
      <c r="AW52" s="168"/>
      <c r="AX52" s="168"/>
      <c r="AY52" s="169"/>
    </row>
    <row r="53" spans="43:51" ht="18.75">
      <c r="AQ53" s="179"/>
      <c r="AR53" s="168"/>
      <c r="AS53" s="168"/>
      <c r="AT53" s="168"/>
      <c r="AU53" s="168"/>
      <c r="AV53" s="168"/>
      <c r="AW53" s="168"/>
      <c r="AX53" s="168"/>
      <c r="AY53" s="169"/>
    </row>
    <row r="54" spans="43:51" ht="18.75">
      <c r="AQ54" s="179"/>
      <c r="AR54" s="168"/>
      <c r="AS54" s="168"/>
      <c r="AT54" s="168"/>
      <c r="AU54" s="168"/>
      <c r="AV54" s="168"/>
      <c r="AW54" s="168"/>
      <c r="AX54" s="168"/>
      <c r="AY54" s="169"/>
    </row>
    <row r="55" spans="43:51" ht="18.75">
      <c r="AQ55" s="179"/>
      <c r="AR55" s="168"/>
      <c r="AS55" s="168"/>
      <c r="AT55" s="168"/>
      <c r="AU55" s="168"/>
      <c r="AV55" s="168"/>
      <c r="AW55" s="168"/>
      <c r="AX55" s="168"/>
      <c r="AY55" s="169"/>
    </row>
    <row r="56" spans="43:51" ht="18.9" thickBot="1">
      <c r="AQ56" s="187"/>
      <c r="AR56" s="188"/>
      <c r="AS56" s="188"/>
      <c r="AT56" s="188"/>
      <c r="AU56" s="188"/>
      <c r="AV56" s="188"/>
      <c r="AW56" s="188"/>
      <c r="AX56" s="188"/>
      <c r="AY56" s="189"/>
    </row>
  </sheetData>
  <mergeCells count="6">
    <mergeCell ref="A4:P4"/>
    <mergeCell ref="I16:J16"/>
    <mergeCell ref="H22:J22"/>
    <mergeCell ref="A25:C25"/>
    <mergeCell ref="K16:L16"/>
    <mergeCell ref="H15:L15"/>
  </mergeCells>
  <printOptions/>
  <pageMargins left="0.7" right="0.7" top="0.75" bottom="0.75" header="0.3" footer="0.3"/>
  <pageSetup fitToHeight="0" fitToWidth="1" horizontalDpi="600" verticalDpi="600" orientation="landscape" scale="66" r:id="rId4"/>
  <headerFooter>
    <oddFooter>&amp;CPrepared by JAY BONHAM &amp;D</oddFooter>
  </headerFooter>
  <drawing r:id="rId3"/>
  <legacyDrawing r:id="rId2"/>
  <extLst>
    <ext xmlns:x14="http://schemas.microsoft.com/office/spreadsheetml/2009/9/main" uri="{A8765BA9-456A-4dab-B4F3-ACF838C121DE}">
      <x14:slicerList>
        <x14:slicer r:id="rId8"/>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D2:H51"/>
  <sheetViews>
    <sheetView zoomScale="85" zoomScaleNormal="85" workbookViewId="0" topLeftCell="A24">
      <selection activeCell="E34" sqref="E34"/>
    </sheetView>
  </sheetViews>
  <sheetFormatPr defaultColWidth="8.796875" defaultRowHeight="18.75"/>
  <cols>
    <col min="3" max="3" width="12.09765625" style="0" bestFit="1" customWidth="1"/>
    <col min="4" max="4" width="15.8984375" style="0" customWidth="1"/>
    <col min="5" max="5" width="15.296875" style="0" customWidth="1"/>
    <col min="6" max="6" width="13.69921875" style="0" customWidth="1"/>
  </cols>
  <sheetData>
    <row r="2" spans="4:6" ht="18.75">
      <c r="D2" s="23"/>
      <c r="E2" s="35"/>
      <c r="F2" s="36"/>
    </row>
    <row r="3" spans="4:7" ht="18.9" thickBot="1">
      <c r="D3" s="39"/>
      <c r="E3" s="40"/>
      <c r="F3" s="41"/>
      <c r="G3" s="42"/>
    </row>
    <row r="4" spans="4:7" ht="18.9" thickBot="1">
      <c r="D4" s="51" t="s">
        <v>1</v>
      </c>
      <c r="E4" s="52" t="s">
        <v>15</v>
      </c>
      <c r="F4" s="48"/>
      <c r="G4" s="49"/>
    </row>
    <row r="5" spans="4:7" ht="18.9" thickBot="1">
      <c r="D5" s="46"/>
      <c r="E5" s="47"/>
      <c r="F5" s="48"/>
      <c r="G5" s="49"/>
    </row>
    <row r="6" spans="4:7" ht="18.9" thickBot="1">
      <c r="D6" s="53" t="s">
        <v>151</v>
      </c>
      <c r="E6" s="54" t="s">
        <v>162</v>
      </c>
      <c r="F6" s="55" t="s">
        <v>169</v>
      </c>
      <c r="G6" s="130" t="s">
        <v>186</v>
      </c>
    </row>
    <row r="7" spans="4:7" ht="18.75">
      <c r="D7" s="56" t="s">
        <v>31</v>
      </c>
      <c r="E7" s="57">
        <v>1252106</v>
      </c>
      <c r="F7" s="58">
        <v>94970.97962399999</v>
      </c>
      <c r="G7" s="127">
        <f>ROUND((F7/E7*1000000)/3412,1)</f>
        <v>22.2</v>
      </c>
    </row>
    <row r="8" spans="4:7" ht="18.75">
      <c r="D8" s="46" t="s">
        <v>14</v>
      </c>
      <c r="E8" s="47">
        <v>5351220</v>
      </c>
      <c r="F8" s="48">
        <v>172333.71908800004</v>
      </c>
      <c r="G8" s="127">
        <f aca="true" t="shared" si="0" ref="G8:G11">ROUND((F8/E8*1000000)/3412,1)</f>
        <v>9.4</v>
      </c>
    </row>
    <row r="9" spans="4:7" ht="18.75">
      <c r="D9" s="46" t="s">
        <v>38</v>
      </c>
      <c r="E9" s="47">
        <v>6383096</v>
      </c>
      <c r="F9" s="48">
        <v>218465.57296400002</v>
      </c>
      <c r="G9" s="127">
        <f t="shared" si="0"/>
        <v>10</v>
      </c>
    </row>
    <row r="10" spans="4:7" ht="18.75">
      <c r="D10" s="46" t="s">
        <v>24</v>
      </c>
      <c r="E10" s="47">
        <v>3928363</v>
      </c>
      <c r="F10" s="48">
        <v>127981.18909200002</v>
      </c>
      <c r="G10" s="127">
        <f t="shared" si="0"/>
        <v>9.5</v>
      </c>
    </row>
    <row r="11" spans="4:7" ht="18.9" thickBot="1">
      <c r="D11" s="50" t="s">
        <v>18</v>
      </c>
      <c r="E11" s="47">
        <v>284892</v>
      </c>
      <c r="F11" s="48">
        <v>11411.468119999998</v>
      </c>
      <c r="G11" s="127">
        <f t="shared" si="0"/>
        <v>11.7</v>
      </c>
    </row>
    <row r="12" spans="4:8" ht="18.9" thickBot="1">
      <c r="D12" s="43" t="s">
        <v>152</v>
      </c>
      <c r="E12" s="44">
        <v>17199677</v>
      </c>
      <c r="F12" s="45">
        <v>625162.9288880001</v>
      </c>
      <c r="G12" s="128">
        <f>SUMPRODUCT(G7:G11,E7:E11)/SUM(E7:E11)</f>
        <v>10.615424121045994</v>
      </c>
      <c r="H12" t="s">
        <v>184</v>
      </c>
    </row>
    <row r="13" spans="6:8" ht="18.75">
      <c r="F13" s="80">
        <f>ROUND(F12*1000/3.412,0)</f>
        <v>183224774</v>
      </c>
      <c r="G13" s="129">
        <f>SUMPRODUCT(F8:F10,G8:G10)/SUM(F8:F10)</f>
        <v>9.677337848891934</v>
      </c>
      <c r="H13" s="21" t="s">
        <v>167</v>
      </c>
    </row>
    <row r="15" ht="19.5" thickBot="1"/>
    <row r="16" spans="4:7" ht="19.5" thickBot="1">
      <c r="D16" s="51" t="s">
        <v>1</v>
      </c>
      <c r="E16" s="52" t="s">
        <v>183</v>
      </c>
      <c r="F16" s="48"/>
      <c r="G16" s="49"/>
    </row>
    <row r="17" spans="4:7" ht="19.5" thickBot="1">
      <c r="D17" s="46"/>
      <c r="E17" s="47"/>
      <c r="F17" s="48"/>
      <c r="G17" s="49"/>
    </row>
    <row r="18" spans="4:7" ht="19.5" thickBot="1">
      <c r="D18" s="53" t="s">
        <v>151</v>
      </c>
      <c r="E18" s="54" t="s">
        <v>162</v>
      </c>
      <c r="F18" s="55" t="s">
        <v>169</v>
      </c>
      <c r="G18" s="49"/>
    </row>
    <row r="19" spans="4:6" ht="18.75">
      <c r="D19" s="56" t="s">
        <v>31</v>
      </c>
      <c r="E19" s="57">
        <v>2425975</v>
      </c>
      <c r="F19" s="58">
        <v>138536.88962399997</v>
      </c>
    </row>
    <row r="20" spans="4:6" ht="18.75">
      <c r="D20" s="46" t="s">
        <v>14</v>
      </c>
      <c r="E20" s="47">
        <v>10616315</v>
      </c>
      <c r="F20" s="48">
        <v>208334.27908799992</v>
      </c>
    </row>
    <row r="21" spans="4:6" ht="18.75">
      <c r="D21" s="46" t="s">
        <v>38</v>
      </c>
      <c r="E21" s="47">
        <v>12210350</v>
      </c>
      <c r="F21" s="48">
        <v>275828.332964</v>
      </c>
    </row>
    <row r="22" spans="4:6" ht="18.75">
      <c r="D22" s="46" t="s">
        <v>24</v>
      </c>
      <c r="E22" s="47">
        <v>7874474</v>
      </c>
      <c r="F22" s="48">
        <v>169152.34909200002</v>
      </c>
    </row>
    <row r="23" spans="4:6" ht="19.5" thickBot="1">
      <c r="D23" s="50" t="s">
        <v>18</v>
      </c>
      <c r="E23" s="47">
        <v>607661</v>
      </c>
      <c r="F23" s="48">
        <v>17035.268119999997</v>
      </c>
    </row>
    <row r="24" spans="4:6" ht="19.5" thickBot="1">
      <c r="D24" s="43" t="s">
        <v>152</v>
      </c>
      <c r="E24" s="44">
        <v>33734775</v>
      </c>
      <c r="F24" s="45">
        <v>808887.118888</v>
      </c>
    </row>
    <row r="26" ht="18.75">
      <c r="F26" s="82">
        <f>SUM(F20:F22)*1000/SUM(E8:E10)</f>
        <v>41.71157189290542</v>
      </c>
    </row>
    <row r="28" ht="18.75">
      <c r="F28" s="80"/>
    </row>
    <row r="29" ht="18.9" thickBot="1"/>
    <row r="30" spans="4:6" ht="18.9" thickBot="1">
      <c r="D30" s="51" t="s">
        <v>1</v>
      </c>
      <c r="E30" s="52" t="s">
        <v>183</v>
      </c>
      <c r="F30" s="48"/>
    </row>
    <row r="31" spans="4:6" ht="18.9" thickBot="1">
      <c r="D31" s="46"/>
      <c r="E31" s="47"/>
      <c r="F31" s="48"/>
    </row>
    <row r="32" spans="4:6" ht="18.9" thickBot="1">
      <c r="D32" s="53" t="s">
        <v>151</v>
      </c>
      <c r="E32" s="54" t="s">
        <v>162</v>
      </c>
      <c r="F32" s="55" t="s">
        <v>169</v>
      </c>
    </row>
    <row r="33" spans="4:6" ht="18.75">
      <c r="D33" s="56" t="s">
        <v>31</v>
      </c>
      <c r="E33" s="57">
        <v>2425975</v>
      </c>
      <c r="F33" s="58">
        <v>138536.88962399997</v>
      </c>
    </row>
    <row r="34" spans="4:6" ht="18.75">
      <c r="D34" s="46" t="s">
        <v>14</v>
      </c>
      <c r="E34" s="47">
        <v>10616315</v>
      </c>
      <c r="F34" s="48">
        <v>208334.27908799992</v>
      </c>
    </row>
    <row r="35" spans="4:6" ht="18.75">
      <c r="D35" s="46" t="s">
        <v>38</v>
      </c>
      <c r="E35" s="47">
        <v>12210350</v>
      </c>
      <c r="F35" s="48">
        <v>275828.332964</v>
      </c>
    </row>
    <row r="36" spans="4:6" ht="18.75">
      <c r="D36" s="46" t="s">
        <v>24</v>
      </c>
      <c r="E36" s="47">
        <v>7874474</v>
      </c>
      <c r="F36" s="48">
        <v>169152.34909200002</v>
      </c>
    </row>
    <row r="37" spans="4:6" ht="18.9" thickBot="1">
      <c r="D37" s="50" t="s">
        <v>18</v>
      </c>
      <c r="E37" s="47">
        <v>607661</v>
      </c>
      <c r="F37" s="48">
        <v>17035.268119999997</v>
      </c>
    </row>
    <row r="38" spans="4:6" ht="18.9" thickBot="1">
      <c r="D38" s="43" t="s">
        <v>152</v>
      </c>
      <c r="E38" s="44">
        <v>33734775</v>
      </c>
      <c r="F38" s="45">
        <v>808887.118888</v>
      </c>
    </row>
    <row r="40" ht="18.75">
      <c r="F40" s="15" t="s">
        <v>187</v>
      </c>
    </row>
    <row r="41" ht="18.75">
      <c r="F41" s="15" t="s">
        <v>184</v>
      </c>
    </row>
    <row r="42" ht="18.75">
      <c r="F42" s="82">
        <f>F38*1000/(E12)</f>
        <v>47.02920403028499</v>
      </c>
    </row>
    <row r="44" ht="18.75">
      <c r="F44" t="s">
        <v>205</v>
      </c>
    </row>
    <row r="45" spans="5:7" ht="18.75">
      <c r="E45" s="146" t="s">
        <v>184</v>
      </c>
      <c r="F45" s="4">
        <f>F38</f>
        <v>808887.118888</v>
      </c>
      <c r="G45" s="80"/>
    </row>
    <row r="46" spans="5:6" ht="18.75">
      <c r="E46" s="146" t="s">
        <v>15</v>
      </c>
      <c r="F46" s="4">
        <f>F12</f>
        <v>625162.9288880001</v>
      </c>
    </row>
    <row r="47" spans="5:7" ht="18.75">
      <c r="E47" s="146" t="s">
        <v>206</v>
      </c>
      <c r="F47" s="147">
        <f>F45-F46</f>
        <v>183724.18999999994</v>
      </c>
      <c r="G47" t="s">
        <v>207</v>
      </c>
    </row>
    <row r="48" ht="18.75">
      <c r="F48" s="4"/>
    </row>
    <row r="49" ht="18.75">
      <c r="F49" s="80"/>
    </row>
    <row r="51" ht="18.75">
      <c r="F51" s="80"/>
    </row>
  </sheetData>
  <printOptions/>
  <pageMargins left="0.7" right="0.7" top="0.75" bottom="0.75" header="0.3" footer="0.3"/>
  <pageSetup fitToHeight="0" fitToWidth="1" horizontalDpi="600" verticalDpi="600" orientation="landscape" scale="52" r:id="rId2"/>
  <headerFooter>
    <oddFooter>&amp;CPrepared by JAY BONHAM &amp;D</oddFooter>
  </headerFooter>
  <drawing r:id="rId1"/>
  <extLst>
    <ext xmlns:x14="http://schemas.microsoft.com/office/spreadsheetml/2009/9/main" uri="{A8765BA9-456A-4dab-B4F3-ACF838C121DE}">
      <x14:slicerList>
        <x14:slicer r:id="rId6"/>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6"/>
  <sheetViews>
    <sheetView workbookViewId="0" topLeftCell="A14">
      <selection activeCell="B26" sqref="B26"/>
    </sheetView>
  </sheetViews>
  <sheetFormatPr defaultColWidth="8.796875" defaultRowHeight="18.75"/>
  <cols>
    <col min="2" max="2" width="36.796875" style="0" bestFit="1" customWidth="1"/>
  </cols>
  <sheetData>
    <row r="1" spans="1:2" ht="18.75">
      <c r="A1" t="s">
        <v>193</v>
      </c>
      <c r="B1" t="s">
        <v>194</v>
      </c>
    </row>
    <row r="2" spans="1:6" ht="18.75">
      <c r="A2" t="s">
        <v>195</v>
      </c>
      <c r="B2" s="143">
        <v>43964.10568287037</v>
      </c>
      <c r="C2" t="s">
        <v>196</v>
      </c>
      <c r="D2" t="s">
        <v>148</v>
      </c>
      <c r="E2" t="s">
        <v>197</v>
      </c>
      <c r="F2" t="s">
        <v>198</v>
      </c>
    </row>
    <row r="3" spans="1:2" ht="18.75">
      <c r="A3" t="s">
        <v>199</v>
      </c>
      <c r="B3" t="s">
        <v>200</v>
      </c>
    </row>
    <row r="4" spans="1:2" ht="18.75">
      <c r="A4">
        <v>2017</v>
      </c>
      <c r="B4" s="144">
        <v>336827.02</v>
      </c>
    </row>
    <row r="5" spans="1:2" ht="18.75">
      <c r="A5">
        <v>2018</v>
      </c>
      <c r="B5" s="144">
        <v>328755.3</v>
      </c>
    </row>
    <row r="6" spans="1:2" ht="18.75">
      <c r="A6">
        <v>2019</v>
      </c>
      <c r="B6" s="144">
        <v>334949.52</v>
      </c>
    </row>
    <row r="7" spans="1:2" ht="18.75">
      <c r="A7" t="s">
        <v>201</v>
      </c>
      <c r="B7" s="144">
        <v>260385.14</v>
      </c>
    </row>
    <row r="9" spans="1:2" ht="18.75">
      <c r="A9" t="s">
        <v>193</v>
      </c>
      <c r="B9" t="s">
        <v>194</v>
      </c>
    </row>
    <row r="10" spans="1:6" ht="18.75">
      <c r="A10" t="s">
        <v>195</v>
      </c>
      <c r="B10" s="143">
        <v>43964.10568287037</v>
      </c>
      <c r="C10" t="s">
        <v>196</v>
      </c>
      <c r="D10" t="s">
        <v>149</v>
      </c>
      <c r="E10" t="s">
        <v>197</v>
      </c>
      <c r="F10" t="s">
        <v>198</v>
      </c>
    </row>
    <row r="11" spans="1:2" ht="18.75">
      <c r="A11" t="s">
        <v>199</v>
      </c>
      <c r="B11" t="s">
        <v>200</v>
      </c>
    </row>
    <row r="12" spans="1:2" ht="18.75">
      <c r="A12">
        <v>2017</v>
      </c>
      <c r="B12" s="144">
        <v>140598.9</v>
      </c>
    </row>
    <row r="13" spans="1:2" ht="18.75">
      <c r="A13">
        <v>2018</v>
      </c>
      <c r="B13" s="144">
        <v>145218.31</v>
      </c>
    </row>
    <row r="14" spans="1:2" ht="18.75">
      <c r="A14">
        <v>2019</v>
      </c>
      <c r="B14" s="144">
        <v>91051.01</v>
      </c>
    </row>
    <row r="15" spans="1:2" ht="18.75">
      <c r="A15" t="s">
        <v>201</v>
      </c>
      <c r="B15" s="144">
        <v>87297.9</v>
      </c>
    </row>
    <row r="17" spans="1:2" ht="18.75">
      <c r="A17" t="s">
        <v>193</v>
      </c>
      <c r="B17" t="s">
        <v>194</v>
      </c>
    </row>
    <row r="18" spans="1:6" ht="18.75">
      <c r="A18" t="s">
        <v>195</v>
      </c>
      <c r="B18" s="143">
        <v>43964.10568287037</v>
      </c>
      <c r="C18" t="s">
        <v>196</v>
      </c>
      <c r="D18" t="s">
        <v>202</v>
      </c>
      <c r="E18" t="s">
        <v>197</v>
      </c>
      <c r="F18" t="s">
        <v>198</v>
      </c>
    </row>
    <row r="19" spans="1:2" ht="18.75">
      <c r="A19" t="s">
        <v>199</v>
      </c>
      <c r="B19" t="s">
        <v>200</v>
      </c>
    </row>
    <row r="20" spans="1:2" ht="18.75">
      <c r="A20">
        <v>2017</v>
      </c>
      <c r="B20" s="144">
        <v>89.3</v>
      </c>
    </row>
    <row r="21" spans="1:2" ht="18.75">
      <c r="A21">
        <v>2018</v>
      </c>
      <c r="B21" s="144">
        <v>491.1</v>
      </c>
    </row>
    <row r="22" spans="1:2" ht="18.75">
      <c r="A22">
        <v>2019</v>
      </c>
      <c r="B22" s="144">
        <v>197.08</v>
      </c>
    </row>
    <row r="23" spans="1:2" ht="18.75">
      <c r="A23" t="s">
        <v>201</v>
      </c>
      <c r="B23">
        <v>272.09</v>
      </c>
    </row>
    <row r="25" ht="18.75">
      <c r="B25" s="145" t="s">
        <v>203</v>
      </c>
    </row>
    <row r="26" spans="2:3" ht="18.75">
      <c r="B26" s="144">
        <f>B6+B14+B22</f>
        <v>426197.61000000004</v>
      </c>
      <c r="C26" t="s">
        <v>204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L10"/>
  <sheetViews>
    <sheetView workbookViewId="0" topLeftCell="A1">
      <selection activeCell="B2" sqref="B2"/>
    </sheetView>
  </sheetViews>
  <sheetFormatPr defaultColWidth="8.796875" defaultRowHeight="18.75"/>
  <cols>
    <col min="2" max="2" width="13.3984375" style="0" bestFit="1" customWidth="1"/>
    <col min="3" max="3" width="10.8984375" style="0" bestFit="1" customWidth="1"/>
    <col min="5" max="5" width="10.69921875" style="0" bestFit="1" customWidth="1"/>
    <col min="9" max="9" width="10.796875" style="0" customWidth="1"/>
  </cols>
  <sheetData>
    <row r="3" spans="2:5" ht="18.75">
      <c r="B3" s="5"/>
      <c r="C3" s="5"/>
      <c r="D3" s="6" t="s">
        <v>155</v>
      </c>
      <c r="E3" s="8" t="s">
        <v>155</v>
      </c>
    </row>
    <row r="4" spans="2:5" ht="18.75">
      <c r="B4" s="5"/>
      <c r="C4" s="7" t="s">
        <v>156</v>
      </c>
      <c r="D4" s="6" t="s">
        <v>157</v>
      </c>
      <c r="E4" s="8" t="s">
        <v>157</v>
      </c>
    </row>
    <row r="5" spans="2:12" ht="18.9" thickBot="1">
      <c r="B5" s="9"/>
      <c r="C5" s="7" t="s">
        <v>158</v>
      </c>
      <c r="D5" s="6" t="s">
        <v>159</v>
      </c>
      <c r="E5" s="8" t="s">
        <v>9</v>
      </c>
      <c r="H5" s="68" t="s">
        <v>180</v>
      </c>
      <c r="I5" s="69" t="s">
        <v>177</v>
      </c>
      <c r="J5" s="68" t="s">
        <v>178</v>
      </c>
      <c r="K5" s="69" t="s">
        <v>179</v>
      </c>
      <c r="L5" s="69" t="s">
        <v>185</v>
      </c>
    </row>
    <row r="6" spans="2:12" ht="25.3">
      <c r="B6" s="10" t="s">
        <v>38</v>
      </c>
      <c r="C6" s="110">
        <f>VLOOKUP(B6,'Avg. Costs'!$E$4:$F$8,2,FALSE)</f>
        <v>531924.6666666666</v>
      </c>
      <c r="D6" s="111">
        <f>I6/K6</f>
        <v>0.6901940249684478</v>
      </c>
      <c r="E6" s="112">
        <f>I6/G6</f>
        <v>367131.2266666666</v>
      </c>
      <c r="G6">
        <v>12</v>
      </c>
      <c r="H6" s="71" t="s">
        <v>38</v>
      </c>
      <c r="I6" s="37">
        <v>4405574.72</v>
      </c>
      <c r="J6" s="67">
        <v>0.3360870865409379</v>
      </c>
      <c r="K6" s="70">
        <v>6383096</v>
      </c>
      <c r="L6" s="76">
        <v>0.6901940249684478</v>
      </c>
    </row>
    <row r="7" spans="2:12" ht="25.3">
      <c r="B7" s="10" t="s">
        <v>24</v>
      </c>
      <c r="C7" s="113">
        <f>VLOOKUP(B7,'Avg. Costs'!$E$4:$F$8,2,FALSE)</f>
        <v>218242.38888888888</v>
      </c>
      <c r="D7" s="84">
        <f>I7/K7</f>
        <v>0.6711879502988904</v>
      </c>
      <c r="E7" s="114">
        <f aca="true" t="shared" si="0" ref="E7:E9">I7/G7</f>
        <v>146481.66166666668</v>
      </c>
      <c r="G7">
        <v>18</v>
      </c>
      <c r="H7" s="71" t="s">
        <v>24</v>
      </c>
      <c r="I7" s="37">
        <v>2636669.91</v>
      </c>
      <c r="J7" s="67">
        <v>0.20114304365312344</v>
      </c>
      <c r="K7" s="70">
        <v>3928363</v>
      </c>
      <c r="L7" s="76">
        <v>0.6711879502988904</v>
      </c>
    </row>
    <row r="8" spans="2:12" ht="25.3">
      <c r="B8" s="10" t="s">
        <v>14</v>
      </c>
      <c r="C8" s="113">
        <f>VLOOKUP(B8,'Avg. Costs'!$E$4:$F$8,2,FALSE)</f>
        <v>95557.5</v>
      </c>
      <c r="D8" s="84">
        <f aca="true" t="shared" si="1" ref="D8:D9">I8/K8</f>
        <v>0.7353761478690839</v>
      </c>
      <c r="E8" s="114">
        <f t="shared" si="0"/>
        <v>70270.70624999997</v>
      </c>
      <c r="G8">
        <v>56</v>
      </c>
      <c r="H8" s="71" t="s">
        <v>14</v>
      </c>
      <c r="I8" s="37">
        <v>3935159.549999999</v>
      </c>
      <c r="J8" s="67">
        <v>0.3002006304033922</v>
      </c>
      <c r="K8" s="70">
        <v>5351220</v>
      </c>
      <c r="L8" s="76">
        <v>0.7353761478690839</v>
      </c>
    </row>
    <row r="9" spans="2:12" ht="25.75" thickBot="1">
      <c r="B9" s="10" t="s">
        <v>18</v>
      </c>
      <c r="C9" s="115">
        <f>VLOOKUP(B9,'Avg. Costs'!$E$4:$F$8,2,FALSE)</f>
        <v>56978.4</v>
      </c>
      <c r="D9" s="116">
        <f t="shared" si="1"/>
        <v>0.8903650506156718</v>
      </c>
      <c r="E9" s="117">
        <f t="shared" si="0"/>
        <v>84552.62666666666</v>
      </c>
      <c r="G9">
        <v>3</v>
      </c>
      <c r="H9" s="71" t="s">
        <v>18</v>
      </c>
      <c r="I9" s="37">
        <v>253657.87999999998</v>
      </c>
      <c r="J9" s="67">
        <v>0.0193507415684805</v>
      </c>
      <c r="K9" s="70">
        <v>284892</v>
      </c>
      <c r="L9" s="76">
        <v>0.8903650506156718</v>
      </c>
    </row>
    <row r="10" spans="3:4" ht="18.75">
      <c r="C10" s="21" t="s">
        <v>163</v>
      </c>
      <c r="D10" s="22">
        <f>SUMPRODUCT(C6:C9,D6:D9)/SUM(C6:C9)</f>
        <v>0.7030166088165386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Cypress-Fairbanks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 BONHAM</dc:creator>
  <cp:keywords/>
  <dc:description/>
  <cp:lastModifiedBy>JAY BONHAM</cp:lastModifiedBy>
  <cp:lastPrinted>2019-09-13T16:03:41Z</cp:lastPrinted>
  <dcterms:created xsi:type="dcterms:W3CDTF">2019-03-28T22:56:56Z</dcterms:created>
  <dcterms:modified xsi:type="dcterms:W3CDTF">2020-05-14T16:18:49Z</dcterms:modified>
  <cp:category/>
  <cp:version/>
  <cp:contentType/>
  <cp:contentStatus/>
</cp:coreProperties>
</file>